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omments1.xml" ContentType="application/vnd.openxmlformats-officedocument.spreadsheetml.comments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7052B0F1-7A71-4D66-B661-8BE9EBFF8B83}" xr6:coauthVersionLast="37" xr6:coauthVersionMax="47" xr10:uidLastSave="{00000000-0000-0000-0000-000000000000}"/>
  <bookViews>
    <workbookView xWindow="-120" yWindow="-120" windowWidth="29040" windowHeight="15840" firstSheet="10" activeTab="10" xr2:uid="{00000000-000D-0000-FFFF-FFFF00000000}"/>
  </bookViews>
  <sheets>
    <sheet name="Зимнее содержание" sheetId="4" state="hidden" r:id="rId1"/>
    <sheet name="База" sheetId="1" state="hidden" r:id="rId2"/>
    <sheet name=" содержание расчёт" sheetId="8" state="hidden" r:id="rId3"/>
    <sheet name="агломерация" sheetId="5" state="hidden" r:id="rId4"/>
    <sheet name="Дороги района" sheetId="6" state="hidden" r:id="rId5"/>
    <sheet name="Дороги СП" sheetId="7" state="hidden" r:id="rId6"/>
    <sheet name="Расчёт  передачи средств  СП" sheetId="9" state="hidden" r:id="rId7"/>
    <sheet name="Лист2" sheetId="11" state="hidden" r:id="rId8"/>
    <sheet name="Лист1" sheetId="12" state="hidden" r:id="rId9"/>
    <sheet name="Перечень дорог изменения 2023" sheetId="13" state="hidden" r:id="rId10"/>
    <sheet name="Перечень дорог 2025 по паспртии" sheetId="17" r:id="rId11"/>
    <sheet name="Лист3" sheetId="18" r:id="rId12"/>
    <sheet name="на изменения 2024" sheetId="16" state="hidden" r:id="rId13"/>
    <sheet name="паспортизация" sheetId="15" state="hidden" r:id="rId14"/>
  </sheets>
  <definedNames>
    <definedName name="_xlnm.Print_Titles" localSheetId="9">'Перечень дорог изменения 2023'!$2:$2</definedName>
    <definedName name="_xlnm.Print_Area" localSheetId="2">' содержание расчёт'!$A$1:$I$41</definedName>
    <definedName name="_xlnm.Print_Area" localSheetId="1">База!$A$1:$O$284</definedName>
    <definedName name="_xlnm.Print_Area" localSheetId="5">'Дороги СП'!$A$1:$H$174</definedName>
    <definedName name="_xlnm.Print_Area" localSheetId="13">паспортизация!$A$1:$I$71</definedName>
    <definedName name="_xlnm.Print_Area" localSheetId="10">'Перечень дорог 2025 по паспртии'!$A$1:$M$300</definedName>
    <definedName name="_xlnm.Print_Area" localSheetId="9">'Перечень дорог изменения 2023'!$A$1:$T$280</definedName>
  </definedNames>
  <calcPr calcId="179021"/>
</workbook>
</file>

<file path=xl/calcChain.xml><?xml version="1.0" encoding="utf-8"?>
<calcChain xmlns="http://schemas.openxmlformats.org/spreadsheetml/2006/main">
  <c r="AL45" i="17" l="1"/>
  <c r="I283" i="17" l="1"/>
  <c r="H283" i="17"/>
  <c r="G283" i="17"/>
  <c r="F283" i="17"/>
  <c r="G242" i="17" l="1"/>
  <c r="F212" i="17"/>
  <c r="M283" i="17"/>
  <c r="L283" i="17"/>
  <c r="K283" i="17"/>
  <c r="J283" i="17"/>
  <c r="V282" i="17"/>
  <c r="N282" i="17"/>
  <c r="V281" i="17"/>
  <c r="N281" i="17"/>
  <c r="E281" i="17"/>
  <c r="V280" i="17"/>
  <c r="N280" i="17"/>
  <c r="E280" i="17"/>
  <c r="V279" i="17"/>
  <c r="N279" i="17"/>
  <c r="E279" i="17"/>
  <c r="V278" i="17"/>
  <c r="N278" i="17"/>
  <c r="E278" i="17"/>
  <c r="V277" i="17"/>
  <c r="N277" i="17"/>
  <c r="E277" i="17"/>
  <c r="V276" i="17"/>
  <c r="N276" i="17"/>
  <c r="E276" i="17"/>
  <c r="V275" i="17"/>
  <c r="N275" i="17"/>
  <c r="E275" i="17"/>
  <c r="V274" i="17"/>
  <c r="N274" i="17"/>
  <c r="E274" i="17"/>
  <c r="V273" i="17"/>
  <c r="N273" i="17"/>
  <c r="E273" i="17"/>
  <c r="V272" i="17"/>
  <c r="N272" i="17"/>
  <c r="E272" i="17"/>
  <c r="V271" i="17"/>
  <c r="N271" i="17"/>
  <c r="V270" i="17"/>
  <c r="N270" i="17"/>
  <c r="E270" i="17"/>
  <c r="V269" i="17"/>
  <c r="N269" i="17"/>
  <c r="E269" i="17"/>
  <c r="V268" i="17"/>
  <c r="N268" i="17"/>
  <c r="E268" i="17"/>
  <c r="V267" i="17"/>
  <c r="N267" i="17"/>
  <c r="E267" i="17"/>
  <c r="V266" i="17"/>
  <c r="N266" i="17"/>
  <c r="E266" i="17"/>
  <c r="V265" i="17"/>
  <c r="N265" i="17"/>
  <c r="E265" i="17"/>
  <c r="V264" i="17"/>
  <c r="N264" i="17"/>
  <c r="E264" i="17"/>
  <c r="V263" i="17"/>
  <c r="N263" i="17"/>
  <c r="E263" i="17"/>
  <c r="V262" i="17"/>
  <c r="N262" i="17"/>
  <c r="E262" i="17"/>
  <c r="P262" i="17" s="1"/>
  <c r="V261" i="17"/>
  <c r="N261" i="17"/>
  <c r="E261" i="17"/>
  <c r="V260" i="17"/>
  <c r="N260" i="17"/>
  <c r="E260" i="17"/>
  <c r="V259" i="17"/>
  <c r="N259" i="17"/>
  <c r="E259" i="17"/>
  <c r="V258" i="17"/>
  <c r="N258" i="17"/>
  <c r="E258" i="17"/>
  <c r="V257" i="17"/>
  <c r="N257" i="17"/>
  <c r="E257" i="17"/>
  <c r="V256" i="17"/>
  <c r="N256" i="17"/>
  <c r="E256" i="17"/>
  <c r="V255" i="17"/>
  <c r="N255" i="17"/>
  <c r="E255" i="17"/>
  <c r="V254" i="17"/>
  <c r="N254" i="17"/>
  <c r="E254" i="17"/>
  <c r="V253" i="17"/>
  <c r="N253" i="17"/>
  <c r="E253" i="17"/>
  <c r="V252" i="17"/>
  <c r="N252" i="17"/>
  <c r="E252" i="17"/>
  <c r="V251" i="17"/>
  <c r="N251" i="17"/>
  <c r="E251" i="17"/>
  <c r="V250" i="17"/>
  <c r="N250" i="17"/>
  <c r="E250" i="17"/>
  <c r="V249" i="17"/>
  <c r="N249" i="17"/>
  <c r="E249" i="17"/>
  <c r="V248" i="17"/>
  <c r="N248" i="17"/>
  <c r="E248" i="17"/>
  <c r="V247" i="17"/>
  <c r="N247" i="17"/>
  <c r="E247" i="17"/>
  <c r="V246" i="17"/>
  <c r="N246" i="17"/>
  <c r="E246" i="17"/>
  <c r="V245" i="17"/>
  <c r="N245" i="17"/>
  <c r="E245" i="17"/>
  <c r="V244" i="17"/>
  <c r="N244" i="17"/>
  <c r="E244" i="17"/>
  <c r="V243" i="17"/>
  <c r="N243" i="17"/>
  <c r="E243" i="17"/>
  <c r="V242" i="17"/>
  <c r="N242" i="17"/>
  <c r="E242" i="17"/>
  <c r="V241" i="17"/>
  <c r="N241" i="17"/>
  <c r="E241" i="17"/>
  <c r="V240" i="17"/>
  <c r="N240" i="17"/>
  <c r="E240" i="17"/>
  <c r="V239" i="17"/>
  <c r="N239" i="17"/>
  <c r="E239" i="17"/>
  <c r="V238" i="17"/>
  <c r="N238" i="17"/>
  <c r="E238" i="17"/>
  <c r="V237" i="17"/>
  <c r="N237" i="17"/>
  <c r="E237" i="17"/>
  <c r="V236" i="17"/>
  <c r="N236" i="17"/>
  <c r="E236" i="17"/>
  <c r="V235" i="17"/>
  <c r="N235" i="17"/>
  <c r="E235" i="17"/>
  <c r="V234" i="17"/>
  <c r="N234" i="17"/>
  <c r="E234" i="17"/>
  <c r="V233" i="17"/>
  <c r="N233" i="17"/>
  <c r="E233" i="17"/>
  <c r="V232" i="17"/>
  <c r="N232" i="17"/>
  <c r="E232" i="17"/>
  <c r="V231" i="17"/>
  <c r="N231" i="17"/>
  <c r="E231" i="17"/>
  <c r="V230" i="17"/>
  <c r="N230" i="17"/>
  <c r="E230" i="17"/>
  <c r="V229" i="17"/>
  <c r="N229" i="17"/>
  <c r="E229" i="17"/>
  <c r="V228" i="17"/>
  <c r="N228" i="17"/>
  <c r="E228" i="17"/>
  <c r="V227" i="17"/>
  <c r="N227" i="17"/>
  <c r="E227" i="17"/>
  <c r="V226" i="17"/>
  <c r="N226" i="17"/>
  <c r="E226" i="17"/>
  <c r="T226" i="17" s="1"/>
  <c r="V225" i="17"/>
  <c r="N225" i="17"/>
  <c r="E225" i="17"/>
  <c r="V224" i="17"/>
  <c r="N224" i="17"/>
  <c r="E224" i="17"/>
  <c r="V223" i="17"/>
  <c r="N223" i="17"/>
  <c r="E223" i="17"/>
  <c r="V222" i="17"/>
  <c r="N222" i="17"/>
  <c r="E222" i="17"/>
  <c r="V221" i="17"/>
  <c r="N221" i="17"/>
  <c r="E221" i="17"/>
  <c r="V220" i="17"/>
  <c r="N220" i="17"/>
  <c r="E220" i="17"/>
  <c r="V219" i="17"/>
  <c r="N219" i="17"/>
  <c r="E219" i="17"/>
  <c r="V218" i="17"/>
  <c r="N218" i="17"/>
  <c r="E218" i="17"/>
  <c r="V217" i="17"/>
  <c r="N217" i="17"/>
  <c r="E217" i="17"/>
  <c r="V216" i="17"/>
  <c r="N216" i="17"/>
  <c r="E216" i="17"/>
  <c r="V215" i="17"/>
  <c r="N215" i="17"/>
  <c r="E215" i="17"/>
  <c r="V214" i="17"/>
  <c r="N214" i="17"/>
  <c r="E214" i="17"/>
  <c r="V213" i="17"/>
  <c r="N213" i="17"/>
  <c r="E213" i="17"/>
  <c r="V212" i="17"/>
  <c r="N212" i="17"/>
  <c r="E212" i="17"/>
  <c r="V211" i="17"/>
  <c r="N211" i="17"/>
  <c r="E211" i="17"/>
  <c r="V210" i="17"/>
  <c r="N210" i="17"/>
  <c r="E210" i="17"/>
  <c r="V209" i="17"/>
  <c r="N209" i="17"/>
  <c r="E209" i="17"/>
  <c r="V208" i="17"/>
  <c r="N208" i="17"/>
  <c r="E208" i="17"/>
  <c r="V207" i="17"/>
  <c r="N207" i="17"/>
  <c r="E207" i="17"/>
  <c r="V206" i="17"/>
  <c r="N206" i="17"/>
  <c r="E206" i="17"/>
  <c r="V205" i="17"/>
  <c r="N205" i="17"/>
  <c r="E205" i="17"/>
  <c r="V204" i="17"/>
  <c r="N204" i="17"/>
  <c r="E204" i="17"/>
  <c r="V203" i="17"/>
  <c r="O203" i="17"/>
  <c r="O283" i="17" s="1"/>
  <c r="N203" i="17"/>
  <c r="E203" i="17"/>
  <c r="V202" i="17"/>
  <c r="N202" i="17"/>
  <c r="E202" i="17"/>
  <c r="V201" i="17"/>
  <c r="N201" i="17"/>
  <c r="E201" i="17"/>
  <c r="V200" i="17"/>
  <c r="N200" i="17"/>
  <c r="E200" i="17"/>
  <c r="V199" i="17"/>
  <c r="N199" i="17"/>
  <c r="E199" i="17"/>
  <c r="V198" i="17"/>
  <c r="N198" i="17"/>
  <c r="E198" i="17"/>
  <c r="V197" i="17"/>
  <c r="N197" i="17"/>
  <c r="E197" i="17"/>
  <c r="V196" i="17"/>
  <c r="N196" i="17"/>
  <c r="E196" i="17"/>
  <c r="V195" i="17"/>
  <c r="N195" i="17"/>
  <c r="E195" i="17"/>
  <c r="V194" i="17"/>
  <c r="N194" i="17"/>
  <c r="E194" i="17"/>
  <c r="V193" i="17"/>
  <c r="N193" i="17"/>
  <c r="E193" i="17"/>
  <c r="V192" i="17"/>
  <c r="N192" i="17"/>
  <c r="E192" i="17"/>
  <c r="V191" i="17"/>
  <c r="N191" i="17"/>
  <c r="E191" i="17"/>
  <c r="V190" i="17"/>
  <c r="N190" i="17"/>
  <c r="E190" i="17"/>
  <c r="V189" i="17"/>
  <c r="N189" i="17"/>
  <c r="E189" i="17"/>
  <c r="V188" i="17"/>
  <c r="N188" i="17"/>
  <c r="E188" i="17"/>
  <c r="V187" i="17"/>
  <c r="N187" i="17"/>
  <c r="E187" i="17"/>
  <c r="V186" i="17"/>
  <c r="N186" i="17"/>
  <c r="E186" i="17"/>
  <c r="V185" i="17"/>
  <c r="N185" i="17"/>
  <c r="E185" i="17"/>
  <c r="V184" i="17"/>
  <c r="N184" i="17"/>
  <c r="E184" i="17"/>
  <c r="V183" i="17"/>
  <c r="N183" i="17"/>
  <c r="E183" i="17"/>
  <c r="V182" i="17"/>
  <c r="N182" i="17"/>
  <c r="E182" i="17"/>
  <c r="V181" i="17"/>
  <c r="N181" i="17"/>
  <c r="E181" i="17"/>
  <c r="V180" i="17"/>
  <c r="N180" i="17"/>
  <c r="E180" i="17"/>
  <c r="V179" i="17"/>
  <c r="N179" i="17"/>
  <c r="E179" i="17"/>
  <c r="V178" i="17"/>
  <c r="N178" i="17"/>
  <c r="E178" i="17"/>
  <c r="V177" i="17"/>
  <c r="N177" i="17"/>
  <c r="E177" i="17"/>
  <c r="V176" i="17"/>
  <c r="N176" i="17"/>
  <c r="E176" i="17"/>
  <c r="V175" i="17"/>
  <c r="N175" i="17"/>
  <c r="E175" i="17"/>
  <c r="V174" i="17"/>
  <c r="N174" i="17"/>
  <c r="E174" i="17"/>
  <c r="V173" i="17"/>
  <c r="N173" i="17"/>
  <c r="E173" i="17"/>
  <c r="V172" i="17"/>
  <c r="N172" i="17"/>
  <c r="E172" i="17"/>
  <c r="V171" i="17"/>
  <c r="N171" i="17"/>
  <c r="E171" i="17"/>
  <c r="V170" i="17"/>
  <c r="N170" i="17"/>
  <c r="E170" i="17"/>
  <c r="V169" i="17"/>
  <c r="N169" i="17"/>
  <c r="E169" i="17"/>
  <c r="V168" i="17"/>
  <c r="N168" i="17"/>
  <c r="E168" i="17"/>
  <c r="V167" i="17"/>
  <c r="N167" i="17"/>
  <c r="E167" i="17"/>
  <c r="V166" i="17"/>
  <c r="N166" i="17"/>
  <c r="E166" i="17"/>
  <c r="V165" i="17"/>
  <c r="N165" i="17"/>
  <c r="E165" i="17"/>
  <c r="V164" i="17"/>
  <c r="N164" i="17"/>
  <c r="E164" i="17"/>
  <c r="V163" i="17"/>
  <c r="N163" i="17"/>
  <c r="E163" i="17"/>
  <c r="V162" i="17"/>
  <c r="N162" i="17"/>
  <c r="E162" i="17"/>
  <c r="V161" i="17"/>
  <c r="N161" i="17"/>
  <c r="E161" i="17"/>
  <c r="V160" i="17"/>
  <c r="N160" i="17"/>
  <c r="E160" i="17"/>
  <c r="V159" i="17"/>
  <c r="N159" i="17"/>
  <c r="E159" i="17"/>
  <c r="V158" i="17"/>
  <c r="N158" i="17"/>
  <c r="E158" i="17"/>
  <c r="V157" i="17"/>
  <c r="N157" i="17"/>
  <c r="E157" i="17"/>
  <c r="V156" i="17"/>
  <c r="N156" i="17"/>
  <c r="E156" i="17"/>
  <c r="V155" i="17"/>
  <c r="N155" i="17"/>
  <c r="E155" i="17"/>
  <c r="V154" i="17"/>
  <c r="N154" i="17"/>
  <c r="E154" i="17"/>
  <c r="V153" i="17"/>
  <c r="N153" i="17"/>
  <c r="E153" i="17"/>
  <c r="V152" i="17"/>
  <c r="N152" i="17"/>
  <c r="E152" i="17"/>
  <c r="V151" i="17"/>
  <c r="N151" i="17"/>
  <c r="E151" i="17"/>
  <c r="V150" i="17"/>
  <c r="N150" i="17"/>
  <c r="E150" i="17"/>
  <c r="V149" i="17"/>
  <c r="N149" i="17"/>
  <c r="E149" i="17"/>
  <c r="V148" i="17"/>
  <c r="N148" i="17"/>
  <c r="E148" i="17"/>
  <c r="V147" i="17"/>
  <c r="N147" i="17"/>
  <c r="E147" i="17"/>
  <c r="V146" i="17"/>
  <c r="N146" i="17"/>
  <c r="E146" i="17"/>
  <c r="V145" i="17"/>
  <c r="N145" i="17"/>
  <c r="E145" i="17"/>
  <c r="V144" i="17"/>
  <c r="N144" i="17"/>
  <c r="E144" i="17"/>
  <c r="V143" i="17"/>
  <c r="N143" i="17"/>
  <c r="V142" i="17"/>
  <c r="N142" i="17"/>
  <c r="E142" i="17"/>
  <c r="V141" i="17"/>
  <c r="N141" i="17"/>
  <c r="E141" i="17"/>
  <c r="V140" i="17"/>
  <c r="N140" i="17"/>
  <c r="E140" i="17"/>
  <c r="V139" i="17"/>
  <c r="N139" i="17"/>
  <c r="E139" i="17"/>
  <c r="V138" i="17"/>
  <c r="N138" i="17"/>
  <c r="E138" i="17"/>
  <c r="V137" i="17"/>
  <c r="N137" i="17"/>
  <c r="E137" i="17"/>
  <c r="V136" i="17"/>
  <c r="N136" i="17"/>
  <c r="E136" i="17"/>
  <c r="V135" i="17"/>
  <c r="N135" i="17"/>
  <c r="E135" i="17"/>
  <c r="V134" i="17"/>
  <c r="N134" i="17"/>
  <c r="E134" i="17"/>
  <c r="V133" i="17"/>
  <c r="N133" i="17"/>
  <c r="E133" i="17"/>
  <c r="V132" i="17"/>
  <c r="N132" i="17"/>
  <c r="E132" i="17"/>
  <c r="V131" i="17"/>
  <c r="N131" i="17"/>
  <c r="E131" i="17"/>
  <c r="V130" i="17"/>
  <c r="N130" i="17"/>
  <c r="E130" i="17"/>
  <c r="V129" i="17"/>
  <c r="N129" i="17"/>
  <c r="E129" i="17"/>
  <c r="V128" i="17"/>
  <c r="N128" i="17"/>
  <c r="E128" i="17"/>
  <c r="V127" i="17"/>
  <c r="N127" i="17"/>
  <c r="E127" i="17"/>
  <c r="V126" i="17"/>
  <c r="N126" i="17"/>
  <c r="E126" i="17"/>
  <c r="V125" i="17"/>
  <c r="N125" i="17"/>
  <c r="E125" i="17"/>
  <c r="V124" i="17"/>
  <c r="N124" i="17"/>
  <c r="E124" i="17"/>
  <c r="V123" i="17"/>
  <c r="N123" i="17"/>
  <c r="E123" i="17"/>
  <c r="V122" i="17"/>
  <c r="N122" i="17"/>
  <c r="V121" i="17"/>
  <c r="N121" i="17"/>
  <c r="E121" i="17"/>
  <c r="V120" i="17"/>
  <c r="N120" i="17"/>
  <c r="E120" i="17"/>
  <c r="V119" i="17"/>
  <c r="N119" i="17"/>
  <c r="E119" i="17"/>
  <c r="V118" i="17"/>
  <c r="N118" i="17"/>
  <c r="E118" i="17"/>
  <c r="V117" i="17"/>
  <c r="N117" i="17"/>
  <c r="E117" i="17"/>
  <c r="V116" i="17"/>
  <c r="N116" i="17"/>
  <c r="E116" i="17"/>
  <c r="V115" i="17"/>
  <c r="N115" i="17"/>
  <c r="E115" i="17"/>
  <c r="V114" i="17"/>
  <c r="N114" i="17"/>
  <c r="E114" i="17"/>
  <c r="V113" i="17"/>
  <c r="N113" i="17"/>
  <c r="E113" i="17"/>
  <c r="V112" i="17"/>
  <c r="N112" i="17"/>
  <c r="E112" i="17"/>
  <c r="V111" i="17"/>
  <c r="N111" i="17"/>
  <c r="E111" i="17"/>
  <c r="V110" i="17"/>
  <c r="N110" i="17"/>
  <c r="E110" i="17"/>
  <c r="V109" i="17"/>
  <c r="N109" i="17"/>
  <c r="E109" i="17"/>
  <c r="V108" i="17"/>
  <c r="N108" i="17"/>
  <c r="E108" i="17"/>
  <c r="V107" i="17"/>
  <c r="N107" i="17"/>
  <c r="V106" i="17"/>
  <c r="N106" i="17"/>
  <c r="E106" i="17"/>
  <c r="V105" i="17"/>
  <c r="N105" i="17"/>
  <c r="E105" i="17"/>
  <c r="V104" i="17"/>
  <c r="N104" i="17"/>
  <c r="E104" i="17"/>
  <c r="V103" i="17"/>
  <c r="N103" i="17"/>
  <c r="E103" i="17"/>
  <c r="V102" i="17"/>
  <c r="N102" i="17"/>
  <c r="E102" i="17"/>
  <c r="V101" i="17"/>
  <c r="N101" i="17"/>
  <c r="E101" i="17"/>
  <c r="V100" i="17"/>
  <c r="N100" i="17"/>
  <c r="E100" i="17"/>
  <c r="V99" i="17"/>
  <c r="N99" i="17"/>
  <c r="E99" i="17"/>
  <c r="V98" i="17"/>
  <c r="N98" i="17"/>
  <c r="E98" i="17"/>
  <c r="V97" i="17"/>
  <c r="N97" i="17"/>
  <c r="E97" i="17"/>
  <c r="V96" i="17"/>
  <c r="N96" i="17"/>
  <c r="E96" i="17"/>
  <c r="V95" i="17"/>
  <c r="N95" i="17"/>
  <c r="E95" i="17"/>
  <c r="V94" i="17"/>
  <c r="N94" i="17"/>
  <c r="E94" i="17"/>
  <c r="V93" i="17"/>
  <c r="N93" i="17"/>
  <c r="E93" i="17"/>
  <c r="V92" i="17"/>
  <c r="N92" i="17"/>
  <c r="E92" i="17"/>
  <c r="V91" i="17"/>
  <c r="N91" i="17"/>
  <c r="E91" i="17"/>
  <c r="V90" i="17"/>
  <c r="N90" i="17"/>
  <c r="E90" i="17"/>
  <c r="V89" i="17"/>
  <c r="N89" i="17"/>
  <c r="E89" i="17"/>
  <c r="V88" i="17"/>
  <c r="N88" i="17"/>
  <c r="V87" i="17"/>
  <c r="N87" i="17"/>
  <c r="E87" i="17"/>
  <c r="V86" i="17"/>
  <c r="N86" i="17"/>
  <c r="E86" i="17"/>
  <c r="V85" i="17"/>
  <c r="N85" i="17"/>
  <c r="E85" i="17"/>
  <c r="V84" i="17"/>
  <c r="N84" i="17"/>
  <c r="E84" i="17"/>
  <c r="V83" i="17"/>
  <c r="N83" i="17"/>
  <c r="E83" i="17"/>
  <c r="V82" i="17"/>
  <c r="N82" i="17"/>
  <c r="E82" i="17"/>
  <c r="V81" i="17"/>
  <c r="N81" i="17"/>
  <c r="E81" i="17"/>
  <c r="V80" i="17"/>
  <c r="N80" i="17"/>
  <c r="E80" i="17"/>
  <c r="V79" i="17"/>
  <c r="N79" i="17"/>
  <c r="E79" i="17"/>
  <c r="V78" i="17"/>
  <c r="N78" i="17"/>
  <c r="E78" i="17"/>
  <c r="V77" i="17"/>
  <c r="N77" i="17"/>
  <c r="E77" i="17"/>
  <c r="V76" i="17"/>
  <c r="N76" i="17"/>
  <c r="E76" i="17"/>
  <c r="V75" i="17"/>
  <c r="N75" i="17"/>
  <c r="E75" i="17"/>
  <c r="V74" i="17"/>
  <c r="N74" i="17"/>
  <c r="E74" i="17"/>
  <c r="V73" i="17"/>
  <c r="N73" i="17"/>
  <c r="E73" i="17"/>
  <c r="V72" i="17"/>
  <c r="N72" i="17"/>
  <c r="E72" i="17"/>
  <c r="V71" i="17"/>
  <c r="N71" i="17"/>
  <c r="E71" i="17"/>
  <c r="V70" i="17"/>
  <c r="N70" i="17"/>
  <c r="E70" i="17"/>
  <c r="V69" i="17"/>
  <c r="N69" i="17"/>
  <c r="E69" i="17"/>
  <c r="V68" i="17"/>
  <c r="N68" i="17"/>
  <c r="E68" i="17"/>
  <c r="V67" i="17"/>
  <c r="N67" i="17"/>
  <c r="E67" i="17"/>
  <c r="V66" i="17"/>
  <c r="N66" i="17"/>
  <c r="E66" i="17"/>
  <c r="V65" i="17"/>
  <c r="N65" i="17"/>
  <c r="V64" i="17"/>
  <c r="N64" i="17"/>
  <c r="E64" i="17"/>
  <c r="V63" i="17"/>
  <c r="N63" i="17"/>
  <c r="E63" i="17"/>
  <c r="V62" i="17"/>
  <c r="N62" i="17"/>
  <c r="E62" i="17"/>
  <c r="V61" i="17"/>
  <c r="N61" i="17"/>
  <c r="E61" i="17"/>
  <c r="V60" i="17"/>
  <c r="N60" i="17"/>
  <c r="E60" i="17"/>
  <c r="V59" i="17"/>
  <c r="N59" i="17"/>
  <c r="E59" i="17"/>
  <c r="V58" i="17"/>
  <c r="N58" i="17"/>
  <c r="E58" i="17"/>
  <c r="V57" i="17"/>
  <c r="N57" i="17"/>
  <c r="E57" i="17"/>
  <c r="V56" i="17"/>
  <c r="N56" i="17"/>
  <c r="E56" i="17"/>
  <c r="V55" i="17"/>
  <c r="N55" i="17"/>
  <c r="E55" i="17"/>
  <c r="V54" i="17"/>
  <c r="N54" i="17"/>
  <c r="E54" i="17"/>
  <c r="V53" i="17"/>
  <c r="N53" i="17"/>
  <c r="E53" i="17"/>
  <c r="V52" i="17"/>
  <c r="N52" i="17"/>
  <c r="E52" i="17"/>
  <c r="V51" i="17"/>
  <c r="N51" i="17"/>
  <c r="E51" i="17"/>
  <c r="V50" i="17"/>
  <c r="N50" i="17"/>
  <c r="E50" i="17"/>
  <c r="V49" i="17"/>
  <c r="N49" i="17"/>
  <c r="E49" i="17"/>
  <c r="V48" i="17"/>
  <c r="N48" i="17"/>
  <c r="E48" i="17"/>
  <c r="V47" i="17"/>
  <c r="N47" i="17"/>
  <c r="E47" i="17"/>
  <c r="V46" i="17"/>
  <c r="N46" i="17"/>
  <c r="E46" i="17"/>
  <c r="V45" i="17"/>
  <c r="N45" i="17"/>
  <c r="V44" i="17"/>
  <c r="N44" i="17"/>
  <c r="E44" i="17"/>
  <c r="V43" i="17"/>
  <c r="N43" i="17"/>
  <c r="E43" i="17"/>
  <c r="V42" i="17"/>
  <c r="N42" i="17"/>
  <c r="E42" i="17"/>
  <c r="V41" i="17"/>
  <c r="N41" i="17"/>
  <c r="E41" i="17"/>
  <c r="V40" i="17"/>
  <c r="N40" i="17"/>
  <c r="E40" i="17"/>
  <c r="V39" i="17"/>
  <c r="N39" i="17"/>
  <c r="E39" i="17"/>
  <c r="V38" i="17"/>
  <c r="N38" i="17"/>
  <c r="E38" i="17"/>
  <c r="V37" i="17"/>
  <c r="N37" i="17"/>
  <c r="V36" i="17"/>
  <c r="N36" i="17"/>
  <c r="E36" i="17"/>
  <c r="V35" i="17"/>
  <c r="N35" i="17"/>
  <c r="E35" i="17"/>
  <c r="V34" i="17"/>
  <c r="N34" i="17"/>
  <c r="E34" i="17"/>
  <c r="V33" i="17"/>
  <c r="N33" i="17"/>
  <c r="E33" i="17"/>
  <c r="V32" i="17"/>
  <c r="N32" i="17"/>
  <c r="E32" i="17"/>
  <c r="V31" i="17"/>
  <c r="N31" i="17"/>
  <c r="V30" i="17"/>
  <c r="N30" i="17"/>
  <c r="E30" i="17"/>
  <c r="V29" i="17"/>
  <c r="N29" i="17"/>
  <c r="E29" i="17"/>
  <c r="V28" i="17"/>
  <c r="N28" i="17"/>
  <c r="E28" i="17"/>
  <c r="V27" i="17"/>
  <c r="N27" i="17"/>
  <c r="E27" i="17"/>
  <c r="V26" i="17"/>
  <c r="N26" i="17"/>
  <c r="E26" i="17"/>
  <c r="V25" i="17"/>
  <c r="N25" i="17"/>
  <c r="E25" i="17"/>
  <c r="V24" i="17"/>
  <c r="N24" i="17"/>
  <c r="E24" i="17"/>
  <c r="V23" i="17"/>
  <c r="N23" i="17"/>
  <c r="E23" i="17"/>
  <c r="V22" i="17"/>
  <c r="N22" i="17"/>
  <c r="E22" i="17"/>
  <c r="V21" i="17"/>
  <c r="N21" i="17"/>
  <c r="E21" i="17"/>
  <c r="V20" i="17"/>
  <c r="N20" i="17"/>
  <c r="E20" i="17"/>
  <c r="V19" i="17"/>
  <c r="N19" i="17"/>
  <c r="E19" i="17"/>
  <c r="V18" i="17"/>
  <c r="N18" i="17"/>
  <c r="E18" i="17"/>
  <c r="V17" i="17"/>
  <c r="N17" i="17"/>
  <c r="E17" i="17"/>
  <c r="V16" i="17"/>
  <c r="N16" i="17"/>
  <c r="E16" i="17"/>
  <c r="V15" i="17"/>
  <c r="N15" i="17"/>
  <c r="E15" i="17"/>
  <c r="V14" i="17"/>
  <c r="N14" i="17"/>
  <c r="E14" i="17"/>
  <c r="V13" i="17"/>
  <c r="N13" i="17"/>
  <c r="E13" i="17"/>
  <c r="V12" i="17"/>
  <c r="N12" i="17"/>
  <c r="E12" i="17"/>
  <c r="V11" i="17"/>
  <c r="N11" i="17"/>
  <c r="E11" i="17"/>
  <c r="V10" i="17"/>
  <c r="N10" i="17"/>
  <c r="E10" i="17"/>
  <c r="V9" i="17"/>
  <c r="N9" i="17"/>
  <c r="E9" i="17"/>
  <c r="V8" i="17"/>
  <c r="N8" i="17"/>
  <c r="E8" i="17"/>
  <c r="V7" i="17"/>
  <c r="N7" i="17"/>
  <c r="E7" i="17"/>
  <c r="V6" i="17"/>
  <c r="N6" i="17"/>
  <c r="E6" i="17"/>
  <c r="V5" i="17"/>
  <c r="N5" i="17"/>
  <c r="E5" i="17"/>
  <c r="V4" i="17"/>
  <c r="N4" i="17"/>
  <c r="E4" i="17"/>
  <c r="V3" i="17"/>
  <c r="N3" i="17"/>
  <c r="E3" i="17"/>
  <c r="E283" i="17" l="1"/>
  <c r="E285" i="17" s="1"/>
  <c r="N283" i="17"/>
  <c r="R107" i="17"/>
  <c r="S226" i="17"/>
  <c r="I282" i="16" l="1"/>
  <c r="H282" i="16"/>
  <c r="G282" i="16"/>
  <c r="F282" i="16"/>
  <c r="M282" i="16" l="1"/>
  <c r="L282" i="16"/>
  <c r="K282" i="16"/>
  <c r="J282" i="16"/>
  <c r="V281" i="16"/>
  <c r="N281" i="16"/>
  <c r="E281" i="16"/>
  <c r="V280" i="16"/>
  <c r="N280" i="16"/>
  <c r="E280" i="16"/>
  <c r="V279" i="16"/>
  <c r="N279" i="16"/>
  <c r="E279" i="16"/>
  <c r="V278" i="16"/>
  <c r="N278" i="16"/>
  <c r="E278" i="16"/>
  <c r="V277" i="16"/>
  <c r="N277" i="16"/>
  <c r="E277" i="16"/>
  <c r="V276" i="16"/>
  <c r="N276" i="16"/>
  <c r="E276" i="16"/>
  <c r="V275" i="16"/>
  <c r="N275" i="16"/>
  <c r="E275" i="16"/>
  <c r="V274" i="16"/>
  <c r="N274" i="16"/>
  <c r="E274" i="16"/>
  <c r="V273" i="16"/>
  <c r="N273" i="16"/>
  <c r="E273" i="16"/>
  <c r="V272" i="16"/>
  <c r="N272" i="16"/>
  <c r="E272" i="16"/>
  <c r="V271" i="16"/>
  <c r="N271" i="16"/>
  <c r="E271" i="16"/>
  <c r="V270" i="16"/>
  <c r="N270" i="16"/>
  <c r="E270" i="16"/>
  <c r="V269" i="16"/>
  <c r="N269" i="16"/>
  <c r="E269" i="16"/>
  <c r="V268" i="16"/>
  <c r="N268" i="16"/>
  <c r="E268" i="16"/>
  <c r="V267" i="16"/>
  <c r="N267" i="16"/>
  <c r="E267" i="16"/>
  <c r="V266" i="16"/>
  <c r="N266" i="16"/>
  <c r="E266" i="16"/>
  <c r="V265" i="16"/>
  <c r="N265" i="16"/>
  <c r="E265" i="16"/>
  <c r="V264" i="16"/>
  <c r="N264" i="16"/>
  <c r="E264" i="16"/>
  <c r="V263" i="16"/>
  <c r="N263" i="16"/>
  <c r="E263" i="16"/>
  <c r="V262" i="16"/>
  <c r="N262" i="16"/>
  <c r="E262" i="16"/>
  <c r="P262" i="16" s="1"/>
  <c r="V261" i="16"/>
  <c r="N261" i="16"/>
  <c r="E261" i="16"/>
  <c r="V260" i="16"/>
  <c r="N260" i="16"/>
  <c r="E260" i="16"/>
  <c r="V259" i="16"/>
  <c r="N259" i="16"/>
  <c r="E259" i="16"/>
  <c r="V258" i="16"/>
  <c r="N258" i="16"/>
  <c r="E258" i="16"/>
  <c r="V257" i="16"/>
  <c r="N257" i="16"/>
  <c r="E257" i="16"/>
  <c r="V256" i="16"/>
  <c r="N256" i="16"/>
  <c r="E256" i="16"/>
  <c r="V255" i="16"/>
  <c r="N255" i="16"/>
  <c r="E255" i="16"/>
  <c r="V254" i="16"/>
  <c r="N254" i="16"/>
  <c r="E254" i="16"/>
  <c r="V253" i="16"/>
  <c r="N253" i="16"/>
  <c r="E253" i="16"/>
  <c r="V252" i="16"/>
  <c r="N252" i="16"/>
  <c r="E252" i="16"/>
  <c r="V251" i="16"/>
  <c r="N251" i="16"/>
  <c r="E251" i="16"/>
  <c r="V250" i="16"/>
  <c r="N250" i="16"/>
  <c r="E250" i="16"/>
  <c r="V249" i="16"/>
  <c r="N249" i="16"/>
  <c r="E249" i="16"/>
  <c r="V248" i="16"/>
  <c r="N248" i="16"/>
  <c r="E248" i="16"/>
  <c r="V247" i="16"/>
  <c r="N247" i="16"/>
  <c r="E247" i="16"/>
  <c r="V246" i="16"/>
  <c r="N246" i="16"/>
  <c r="E246" i="16"/>
  <c r="V245" i="16"/>
  <c r="N245" i="16"/>
  <c r="E245" i="16"/>
  <c r="V244" i="16"/>
  <c r="N244" i="16"/>
  <c r="E244" i="16"/>
  <c r="V243" i="16"/>
  <c r="N243" i="16"/>
  <c r="E243" i="16"/>
  <c r="V242" i="16"/>
  <c r="N242" i="16"/>
  <c r="E242" i="16"/>
  <c r="V241" i="16"/>
  <c r="N241" i="16"/>
  <c r="E241" i="16"/>
  <c r="V240" i="16"/>
  <c r="N240" i="16"/>
  <c r="E240" i="16"/>
  <c r="V239" i="16"/>
  <c r="N239" i="16"/>
  <c r="E239" i="16"/>
  <c r="V238" i="16"/>
  <c r="N238" i="16"/>
  <c r="E238" i="16"/>
  <c r="V237" i="16"/>
  <c r="N237" i="16"/>
  <c r="E237" i="16"/>
  <c r="V236" i="16"/>
  <c r="N236" i="16"/>
  <c r="E236" i="16"/>
  <c r="V235" i="16"/>
  <c r="N235" i="16"/>
  <c r="E235" i="16"/>
  <c r="V234" i="16"/>
  <c r="N234" i="16"/>
  <c r="E234" i="16"/>
  <c r="V233" i="16"/>
  <c r="N233" i="16"/>
  <c r="E233" i="16"/>
  <c r="V232" i="16"/>
  <c r="N232" i="16"/>
  <c r="E232" i="16"/>
  <c r="V231" i="16"/>
  <c r="N231" i="16"/>
  <c r="E231" i="16"/>
  <c r="V230" i="16"/>
  <c r="N230" i="16"/>
  <c r="E230" i="16"/>
  <c r="V229" i="16"/>
  <c r="N229" i="16"/>
  <c r="E229" i="16"/>
  <c r="V228" i="16"/>
  <c r="N228" i="16"/>
  <c r="E228" i="16"/>
  <c r="V227" i="16"/>
  <c r="N227" i="16"/>
  <c r="E227" i="16"/>
  <c r="V226" i="16"/>
  <c r="N226" i="16"/>
  <c r="E226" i="16"/>
  <c r="T226" i="16" s="1"/>
  <c r="V225" i="16"/>
  <c r="N225" i="16"/>
  <c r="E225" i="16"/>
  <c r="V224" i="16"/>
  <c r="N224" i="16"/>
  <c r="E224" i="16"/>
  <c r="V223" i="16"/>
  <c r="N223" i="16"/>
  <c r="E223" i="16"/>
  <c r="V222" i="16"/>
  <c r="N222" i="16"/>
  <c r="E222" i="16"/>
  <c r="V221" i="16"/>
  <c r="N221" i="16"/>
  <c r="E221" i="16"/>
  <c r="V220" i="16"/>
  <c r="N220" i="16"/>
  <c r="E220" i="16"/>
  <c r="V219" i="16"/>
  <c r="N219" i="16"/>
  <c r="E219" i="16"/>
  <c r="V218" i="16"/>
  <c r="N218" i="16"/>
  <c r="E218" i="16"/>
  <c r="V217" i="16"/>
  <c r="N217" i="16"/>
  <c r="E217" i="16"/>
  <c r="V216" i="16"/>
  <c r="N216" i="16"/>
  <c r="E216" i="16"/>
  <c r="V215" i="16"/>
  <c r="N215" i="16"/>
  <c r="E215" i="16"/>
  <c r="V214" i="16"/>
  <c r="N214" i="16"/>
  <c r="E214" i="16"/>
  <c r="V213" i="16"/>
  <c r="N213" i="16"/>
  <c r="E213" i="16"/>
  <c r="V212" i="16"/>
  <c r="N212" i="16"/>
  <c r="E212" i="16"/>
  <c r="V211" i="16"/>
  <c r="N211" i="16"/>
  <c r="E211" i="16"/>
  <c r="V210" i="16"/>
  <c r="N210" i="16"/>
  <c r="E210" i="16"/>
  <c r="V209" i="16"/>
  <c r="N209" i="16"/>
  <c r="E209" i="16"/>
  <c r="V208" i="16"/>
  <c r="N208" i="16"/>
  <c r="E208" i="16"/>
  <c r="V207" i="16"/>
  <c r="N207" i="16"/>
  <c r="E207" i="16"/>
  <c r="V206" i="16"/>
  <c r="N206" i="16"/>
  <c r="E206" i="16"/>
  <c r="V205" i="16"/>
  <c r="N205" i="16"/>
  <c r="E205" i="16"/>
  <c r="V204" i="16"/>
  <c r="N204" i="16"/>
  <c r="E204" i="16"/>
  <c r="V203" i="16"/>
  <c r="O203" i="16"/>
  <c r="O282" i="16" s="1"/>
  <c r="N203" i="16"/>
  <c r="E203" i="16"/>
  <c r="V202" i="16"/>
  <c r="N202" i="16"/>
  <c r="E202" i="16"/>
  <c r="V201" i="16"/>
  <c r="N201" i="16"/>
  <c r="E201" i="16"/>
  <c r="V200" i="16"/>
  <c r="N200" i="16"/>
  <c r="E200" i="16"/>
  <c r="V199" i="16"/>
  <c r="N199" i="16"/>
  <c r="E199" i="16"/>
  <c r="V198" i="16"/>
  <c r="N198" i="16"/>
  <c r="E198" i="16"/>
  <c r="V197" i="16"/>
  <c r="N197" i="16"/>
  <c r="E197" i="16"/>
  <c r="V196" i="16"/>
  <c r="N196" i="16"/>
  <c r="E196" i="16"/>
  <c r="V195" i="16"/>
  <c r="N195" i="16"/>
  <c r="E195" i="16"/>
  <c r="V194" i="16"/>
  <c r="N194" i="16"/>
  <c r="E194" i="16"/>
  <c r="V193" i="16"/>
  <c r="N193" i="16"/>
  <c r="E193" i="16"/>
  <c r="V192" i="16"/>
  <c r="N192" i="16"/>
  <c r="E192" i="16"/>
  <c r="V191" i="16"/>
  <c r="N191" i="16"/>
  <c r="E191" i="16"/>
  <c r="V190" i="16"/>
  <c r="N190" i="16"/>
  <c r="E190" i="16"/>
  <c r="V189" i="16"/>
  <c r="N189" i="16"/>
  <c r="E189" i="16"/>
  <c r="V188" i="16"/>
  <c r="N188" i="16"/>
  <c r="E188" i="16"/>
  <c r="V187" i="16"/>
  <c r="N187" i="16"/>
  <c r="E187" i="16"/>
  <c r="V186" i="16"/>
  <c r="N186" i="16"/>
  <c r="E186" i="16"/>
  <c r="V185" i="16"/>
  <c r="N185" i="16"/>
  <c r="E185" i="16"/>
  <c r="V184" i="16"/>
  <c r="N184" i="16"/>
  <c r="E184" i="16"/>
  <c r="V183" i="16"/>
  <c r="N183" i="16"/>
  <c r="E183" i="16"/>
  <c r="V182" i="16"/>
  <c r="N182" i="16"/>
  <c r="E182" i="16"/>
  <c r="V181" i="16"/>
  <c r="N181" i="16"/>
  <c r="E181" i="16"/>
  <c r="V180" i="16"/>
  <c r="N180" i="16"/>
  <c r="E180" i="16"/>
  <c r="V179" i="16"/>
  <c r="N179" i="16"/>
  <c r="E179" i="16"/>
  <c r="V178" i="16"/>
  <c r="N178" i="16"/>
  <c r="E178" i="16"/>
  <c r="V177" i="16"/>
  <c r="N177" i="16"/>
  <c r="E177" i="16"/>
  <c r="V176" i="16"/>
  <c r="N176" i="16"/>
  <c r="E176" i="16"/>
  <c r="V175" i="16"/>
  <c r="N175" i="16"/>
  <c r="E175" i="16"/>
  <c r="V174" i="16"/>
  <c r="N174" i="16"/>
  <c r="E174" i="16"/>
  <c r="V173" i="16"/>
  <c r="N173" i="16"/>
  <c r="E173" i="16"/>
  <c r="V172" i="16"/>
  <c r="N172" i="16"/>
  <c r="E172" i="16"/>
  <c r="V171" i="16"/>
  <c r="N171" i="16"/>
  <c r="E171" i="16"/>
  <c r="V170" i="16"/>
  <c r="N170" i="16"/>
  <c r="E170" i="16"/>
  <c r="V169" i="16"/>
  <c r="N169" i="16"/>
  <c r="E169" i="16"/>
  <c r="V168" i="16"/>
  <c r="N168" i="16"/>
  <c r="E168" i="16"/>
  <c r="V167" i="16"/>
  <c r="N167" i="16"/>
  <c r="E167" i="16"/>
  <c r="V166" i="16"/>
  <c r="N166" i="16"/>
  <c r="E166" i="16"/>
  <c r="V165" i="16"/>
  <c r="N165" i="16"/>
  <c r="E165" i="16"/>
  <c r="V164" i="16"/>
  <c r="N164" i="16"/>
  <c r="E164" i="16"/>
  <c r="V163" i="16"/>
  <c r="N163" i="16"/>
  <c r="E163" i="16"/>
  <c r="V162" i="16"/>
  <c r="N162" i="16"/>
  <c r="E162" i="16"/>
  <c r="V161" i="16"/>
  <c r="N161" i="16"/>
  <c r="E161" i="16"/>
  <c r="V160" i="16"/>
  <c r="N160" i="16"/>
  <c r="E160" i="16"/>
  <c r="V159" i="16"/>
  <c r="N159" i="16"/>
  <c r="E159" i="16"/>
  <c r="V158" i="16"/>
  <c r="N158" i="16"/>
  <c r="E158" i="16"/>
  <c r="V157" i="16"/>
  <c r="N157" i="16"/>
  <c r="E157" i="16"/>
  <c r="V156" i="16"/>
  <c r="N156" i="16"/>
  <c r="E156" i="16"/>
  <c r="V155" i="16"/>
  <c r="N155" i="16"/>
  <c r="E155" i="16"/>
  <c r="V154" i="16"/>
  <c r="N154" i="16"/>
  <c r="E154" i="16"/>
  <c r="V153" i="16"/>
  <c r="N153" i="16"/>
  <c r="E153" i="16"/>
  <c r="V152" i="16"/>
  <c r="N152" i="16"/>
  <c r="E152" i="16"/>
  <c r="V151" i="16"/>
  <c r="N151" i="16"/>
  <c r="E151" i="16"/>
  <c r="V150" i="16"/>
  <c r="N150" i="16"/>
  <c r="E150" i="16"/>
  <c r="V149" i="16"/>
  <c r="N149" i="16"/>
  <c r="E149" i="16"/>
  <c r="V148" i="16"/>
  <c r="N148" i="16"/>
  <c r="E148" i="16"/>
  <c r="V147" i="16"/>
  <c r="N147" i="16"/>
  <c r="E147" i="16"/>
  <c r="V146" i="16"/>
  <c r="N146" i="16"/>
  <c r="E146" i="16"/>
  <c r="V145" i="16"/>
  <c r="N145" i="16"/>
  <c r="E145" i="16"/>
  <c r="V144" i="16"/>
  <c r="N144" i="16"/>
  <c r="E144" i="16"/>
  <c r="V143" i="16"/>
  <c r="N143" i="16"/>
  <c r="V142" i="16"/>
  <c r="N142" i="16"/>
  <c r="E142" i="16"/>
  <c r="V141" i="16"/>
  <c r="N141" i="16"/>
  <c r="E141" i="16"/>
  <c r="V140" i="16"/>
  <c r="N140" i="16"/>
  <c r="E140" i="16"/>
  <c r="V139" i="16"/>
  <c r="N139" i="16"/>
  <c r="E139" i="16"/>
  <c r="V138" i="16"/>
  <c r="N138" i="16"/>
  <c r="E138" i="16"/>
  <c r="V137" i="16"/>
  <c r="N137" i="16"/>
  <c r="E137" i="16"/>
  <c r="V136" i="16"/>
  <c r="N136" i="16"/>
  <c r="E136" i="16"/>
  <c r="V135" i="16"/>
  <c r="N135" i="16"/>
  <c r="E135" i="16"/>
  <c r="V134" i="16"/>
  <c r="N134" i="16"/>
  <c r="E134" i="16"/>
  <c r="V133" i="16"/>
  <c r="N133" i="16"/>
  <c r="E133" i="16"/>
  <c r="V132" i="16"/>
  <c r="N132" i="16"/>
  <c r="E132" i="16"/>
  <c r="V131" i="16"/>
  <c r="N131" i="16"/>
  <c r="E131" i="16"/>
  <c r="V130" i="16"/>
  <c r="N130" i="16"/>
  <c r="E130" i="16"/>
  <c r="V129" i="16"/>
  <c r="N129" i="16"/>
  <c r="E129" i="16"/>
  <c r="V128" i="16"/>
  <c r="N128" i="16"/>
  <c r="E128" i="16"/>
  <c r="V127" i="16"/>
  <c r="N127" i="16"/>
  <c r="E127" i="16"/>
  <c r="V126" i="16"/>
  <c r="N126" i="16"/>
  <c r="E126" i="16"/>
  <c r="V125" i="16"/>
  <c r="N125" i="16"/>
  <c r="E125" i="16"/>
  <c r="V124" i="16"/>
  <c r="N124" i="16"/>
  <c r="E124" i="16"/>
  <c r="V123" i="16"/>
  <c r="N123" i="16"/>
  <c r="E123" i="16"/>
  <c r="V122" i="16"/>
  <c r="N122" i="16"/>
  <c r="V121" i="16"/>
  <c r="N121" i="16"/>
  <c r="E121" i="16"/>
  <c r="V120" i="16"/>
  <c r="N120" i="16"/>
  <c r="E120" i="16"/>
  <c r="V119" i="16"/>
  <c r="N119" i="16"/>
  <c r="E119" i="16"/>
  <c r="V118" i="16"/>
  <c r="N118" i="16"/>
  <c r="E118" i="16"/>
  <c r="V117" i="16"/>
  <c r="N117" i="16"/>
  <c r="E117" i="16"/>
  <c r="V116" i="16"/>
  <c r="N116" i="16"/>
  <c r="E116" i="16"/>
  <c r="V115" i="16"/>
  <c r="N115" i="16"/>
  <c r="E115" i="16"/>
  <c r="V114" i="16"/>
  <c r="N114" i="16"/>
  <c r="E114" i="16"/>
  <c r="V113" i="16"/>
  <c r="N113" i="16"/>
  <c r="E113" i="16"/>
  <c r="V112" i="16"/>
  <c r="N112" i="16"/>
  <c r="E112" i="16"/>
  <c r="V111" i="16"/>
  <c r="N111" i="16"/>
  <c r="E111" i="16"/>
  <c r="V110" i="16"/>
  <c r="N110" i="16"/>
  <c r="E110" i="16"/>
  <c r="V109" i="16"/>
  <c r="N109" i="16"/>
  <c r="E109" i="16"/>
  <c r="R107" i="16" s="1"/>
  <c r="V108" i="16"/>
  <c r="N108" i="16"/>
  <c r="E108" i="16"/>
  <c r="V107" i="16"/>
  <c r="N107" i="16"/>
  <c r="V106" i="16"/>
  <c r="N106" i="16"/>
  <c r="E106" i="16"/>
  <c r="V105" i="16"/>
  <c r="N105" i="16"/>
  <c r="E105" i="16"/>
  <c r="V104" i="16"/>
  <c r="N104" i="16"/>
  <c r="E104" i="16"/>
  <c r="V103" i="16"/>
  <c r="N103" i="16"/>
  <c r="E103" i="16"/>
  <c r="V102" i="16"/>
  <c r="N102" i="16"/>
  <c r="E102" i="16"/>
  <c r="V101" i="16"/>
  <c r="N101" i="16"/>
  <c r="E101" i="16"/>
  <c r="V100" i="16"/>
  <c r="N100" i="16"/>
  <c r="E100" i="16"/>
  <c r="V99" i="16"/>
  <c r="N99" i="16"/>
  <c r="E99" i="16"/>
  <c r="V98" i="16"/>
  <c r="N98" i="16"/>
  <c r="E98" i="16"/>
  <c r="V97" i="16"/>
  <c r="N97" i="16"/>
  <c r="E97" i="16"/>
  <c r="V96" i="16"/>
  <c r="N96" i="16"/>
  <c r="E96" i="16"/>
  <c r="V95" i="16"/>
  <c r="N95" i="16"/>
  <c r="E95" i="16"/>
  <c r="V94" i="16"/>
  <c r="N94" i="16"/>
  <c r="E94" i="16"/>
  <c r="V93" i="16"/>
  <c r="N93" i="16"/>
  <c r="E93" i="16"/>
  <c r="V92" i="16"/>
  <c r="N92" i="16"/>
  <c r="E92" i="16"/>
  <c r="V91" i="16"/>
  <c r="N91" i="16"/>
  <c r="E91" i="16"/>
  <c r="V90" i="16"/>
  <c r="N90" i="16"/>
  <c r="E90" i="16"/>
  <c r="V89" i="16"/>
  <c r="N89" i="16"/>
  <c r="E89" i="16"/>
  <c r="V88" i="16"/>
  <c r="N88" i="16"/>
  <c r="E88" i="16"/>
  <c r="V87" i="16"/>
  <c r="N87" i="16"/>
  <c r="E87" i="16"/>
  <c r="V86" i="16"/>
  <c r="N86" i="16"/>
  <c r="E86" i="16"/>
  <c r="V85" i="16"/>
  <c r="N85" i="16"/>
  <c r="E85" i="16"/>
  <c r="V84" i="16"/>
  <c r="N84" i="16"/>
  <c r="E84" i="16"/>
  <c r="V83" i="16"/>
  <c r="N83" i="16"/>
  <c r="E83" i="16"/>
  <c r="V82" i="16"/>
  <c r="N82" i="16"/>
  <c r="E82" i="16"/>
  <c r="V81" i="16"/>
  <c r="N81" i="16"/>
  <c r="E81" i="16"/>
  <c r="V80" i="16"/>
  <c r="N80" i="16"/>
  <c r="E80" i="16"/>
  <c r="V79" i="16"/>
  <c r="N79" i="16"/>
  <c r="E79" i="16"/>
  <c r="V78" i="16"/>
  <c r="N78" i="16"/>
  <c r="E78" i="16"/>
  <c r="V77" i="16"/>
  <c r="N77" i="16"/>
  <c r="E77" i="16"/>
  <c r="V76" i="16"/>
  <c r="N76" i="16"/>
  <c r="E76" i="16"/>
  <c r="V75" i="16"/>
  <c r="N75" i="16"/>
  <c r="E75" i="16"/>
  <c r="V74" i="16"/>
  <c r="N74" i="16"/>
  <c r="E74" i="16"/>
  <c r="V73" i="16"/>
  <c r="N73" i="16"/>
  <c r="E73" i="16"/>
  <c r="V72" i="16"/>
  <c r="N72" i="16"/>
  <c r="E72" i="16"/>
  <c r="V71" i="16"/>
  <c r="N71" i="16"/>
  <c r="E71" i="16"/>
  <c r="V70" i="16"/>
  <c r="N70" i="16"/>
  <c r="E70" i="16"/>
  <c r="V69" i="16"/>
  <c r="N69" i="16"/>
  <c r="E69" i="16"/>
  <c r="V68" i="16"/>
  <c r="N68" i="16"/>
  <c r="E68" i="16"/>
  <c r="V67" i="16"/>
  <c r="N67" i="16"/>
  <c r="E67" i="16"/>
  <c r="V66" i="16"/>
  <c r="N66" i="16"/>
  <c r="E66" i="16"/>
  <c r="V65" i="16"/>
  <c r="N65" i="16"/>
  <c r="V64" i="16"/>
  <c r="N64" i="16"/>
  <c r="E64" i="16"/>
  <c r="V63" i="16"/>
  <c r="N63" i="16"/>
  <c r="E63" i="16"/>
  <c r="V62" i="16"/>
  <c r="N62" i="16"/>
  <c r="E62" i="16"/>
  <c r="V61" i="16"/>
  <c r="N61" i="16"/>
  <c r="E61" i="16"/>
  <c r="V60" i="16"/>
  <c r="N60" i="16"/>
  <c r="E60" i="16"/>
  <c r="V59" i="16"/>
  <c r="N59" i="16"/>
  <c r="E59" i="16"/>
  <c r="V58" i="16"/>
  <c r="N58" i="16"/>
  <c r="E58" i="16"/>
  <c r="V57" i="16"/>
  <c r="N57" i="16"/>
  <c r="E57" i="16"/>
  <c r="V56" i="16"/>
  <c r="N56" i="16"/>
  <c r="E56" i="16"/>
  <c r="V55" i="16"/>
  <c r="N55" i="16"/>
  <c r="E55" i="16"/>
  <c r="V54" i="16"/>
  <c r="N54" i="16"/>
  <c r="E54" i="16"/>
  <c r="V53" i="16"/>
  <c r="N53" i="16"/>
  <c r="E53" i="16"/>
  <c r="V52" i="16"/>
  <c r="N52" i="16"/>
  <c r="E52" i="16"/>
  <c r="V51" i="16"/>
  <c r="N51" i="16"/>
  <c r="E51" i="16"/>
  <c r="V50" i="16"/>
  <c r="N50" i="16"/>
  <c r="E50" i="16"/>
  <c r="V49" i="16"/>
  <c r="N49" i="16"/>
  <c r="E49" i="16"/>
  <c r="V48" i="16"/>
  <c r="N48" i="16"/>
  <c r="E48" i="16"/>
  <c r="V47" i="16"/>
  <c r="N47" i="16"/>
  <c r="E47" i="16"/>
  <c r="V46" i="16"/>
  <c r="N46" i="16"/>
  <c r="E46" i="16"/>
  <c r="V45" i="16"/>
  <c r="N45" i="16"/>
  <c r="E45" i="16"/>
  <c r="V44" i="16"/>
  <c r="N44" i="16"/>
  <c r="E44" i="16"/>
  <c r="V43" i="16"/>
  <c r="N43" i="16"/>
  <c r="E43" i="16"/>
  <c r="V42" i="16"/>
  <c r="N42" i="16"/>
  <c r="E42" i="16"/>
  <c r="V41" i="16"/>
  <c r="N41" i="16"/>
  <c r="E41" i="16"/>
  <c r="V40" i="16"/>
  <c r="N40" i="16"/>
  <c r="E40" i="16"/>
  <c r="V39" i="16"/>
  <c r="N39" i="16"/>
  <c r="E39" i="16"/>
  <c r="V38" i="16"/>
  <c r="N38" i="16"/>
  <c r="E38" i="16"/>
  <c r="V37" i="16"/>
  <c r="N37" i="16"/>
  <c r="E37" i="16"/>
  <c r="V36" i="16"/>
  <c r="N36" i="16"/>
  <c r="E36" i="16"/>
  <c r="V35" i="16"/>
  <c r="N35" i="16"/>
  <c r="E35" i="16"/>
  <c r="V34" i="16"/>
  <c r="N34" i="16"/>
  <c r="E34" i="16"/>
  <c r="V33" i="16"/>
  <c r="N33" i="16"/>
  <c r="E33" i="16"/>
  <c r="V32" i="16"/>
  <c r="N32" i="16"/>
  <c r="E32" i="16"/>
  <c r="V31" i="16"/>
  <c r="N31" i="16"/>
  <c r="E31" i="16"/>
  <c r="V30" i="16"/>
  <c r="N30" i="16"/>
  <c r="E30" i="16"/>
  <c r="V29" i="16"/>
  <c r="N29" i="16"/>
  <c r="E29" i="16"/>
  <c r="V28" i="16"/>
  <c r="N28" i="16"/>
  <c r="E28" i="16"/>
  <c r="V27" i="16"/>
  <c r="N27" i="16"/>
  <c r="E27" i="16"/>
  <c r="V26" i="16"/>
  <c r="N26" i="16"/>
  <c r="E26" i="16"/>
  <c r="V25" i="16"/>
  <c r="N25" i="16"/>
  <c r="E25" i="16"/>
  <c r="V24" i="16"/>
  <c r="N24" i="16"/>
  <c r="E24" i="16"/>
  <c r="V23" i="16"/>
  <c r="N23" i="16"/>
  <c r="E23" i="16"/>
  <c r="V22" i="16"/>
  <c r="N22" i="16"/>
  <c r="E22" i="16"/>
  <c r="V21" i="16"/>
  <c r="N21" i="16"/>
  <c r="E21" i="16"/>
  <c r="V20" i="16"/>
  <c r="N20" i="16"/>
  <c r="E20" i="16"/>
  <c r="V19" i="16"/>
  <c r="N19" i="16"/>
  <c r="E19" i="16"/>
  <c r="V18" i="16"/>
  <c r="N18" i="16"/>
  <c r="E18" i="16"/>
  <c r="V17" i="16"/>
  <c r="N17" i="16"/>
  <c r="E17" i="16"/>
  <c r="V16" i="16"/>
  <c r="N16" i="16"/>
  <c r="E16" i="16"/>
  <c r="V15" i="16"/>
  <c r="N15" i="16"/>
  <c r="E15" i="16"/>
  <c r="V14" i="16"/>
  <c r="N14" i="16"/>
  <c r="E14" i="16"/>
  <c r="V13" i="16"/>
  <c r="N13" i="16"/>
  <c r="E13" i="16"/>
  <c r="V12" i="16"/>
  <c r="N12" i="16"/>
  <c r="E12" i="16"/>
  <c r="V11" i="16"/>
  <c r="N11" i="16"/>
  <c r="E11" i="16"/>
  <c r="V10" i="16"/>
  <c r="N10" i="16"/>
  <c r="E10" i="16"/>
  <c r="V9" i="16"/>
  <c r="N9" i="16"/>
  <c r="E9" i="16"/>
  <c r="V8" i="16"/>
  <c r="N8" i="16"/>
  <c r="E8" i="16"/>
  <c r="V7" i="16"/>
  <c r="N7" i="16"/>
  <c r="E7" i="16"/>
  <c r="V6" i="16"/>
  <c r="N6" i="16"/>
  <c r="E6" i="16"/>
  <c r="V5" i="16"/>
  <c r="N5" i="16"/>
  <c r="E5" i="16"/>
  <c r="V4" i="16"/>
  <c r="N4" i="16"/>
  <c r="E4" i="16"/>
  <c r="V3" i="16"/>
  <c r="N3" i="16"/>
  <c r="E3" i="16"/>
  <c r="E282" i="16" s="1"/>
  <c r="N282" i="16" l="1"/>
  <c r="S226" i="16"/>
  <c r="I71" i="15" l="1"/>
  <c r="H71" i="15"/>
  <c r="G71" i="15"/>
  <c r="F71" i="15"/>
  <c r="E3" i="15"/>
  <c r="L3" i="15"/>
  <c r="E4" i="15"/>
  <c r="L4" i="15"/>
  <c r="E5" i="15"/>
  <c r="L5" i="15"/>
  <c r="E6" i="15"/>
  <c r="L6" i="15"/>
  <c r="E7" i="15"/>
  <c r="L7" i="15"/>
  <c r="E8" i="15"/>
  <c r="L8" i="15"/>
  <c r="E9" i="15"/>
  <c r="L9" i="15"/>
  <c r="E10" i="15"/>
  <c r="L10" i="15"/>
  <c r="E11" i="15"/>
  <c r="L11" i="15"/>
  <c r="E12" i="15"/>
  <c r="L12" i="15"/>
  <c r="E13" i="15"/>
  <c r="L13" i="15"/>
  <c r="E14" i="15"/>
  <c r="L14" i="15"/>
  <c r="E15" i="15"/>
  <c r="L15" i="15"/>
  <c r="E16" i="15"/>
  <c r="L16" i="15"/>
  <c r="E17" i="15"/>
  <c r="L17" i="15"/>
  <c r="E18" i="15"/>
  <c r="L18" i="15"/>
  <c r="E19" i="15"/>
  <c r="L19" i="15"/>
  <c r="E20" i="15"/>
  <c r="L20" i="15"/>
  <c r="E21" i="15"/>
  <c r="L21" i="15"/>
  <c r="E22" i="15"/>
  <c r="L22" i="15"/>
  <c r="E23" i="15"/>
  <c r="L23" i="15"/>
  <c r="E24" i="15"/>
  <c r="L24" i="15"/>
  <c r="E25" i="15"/>
  <c r="L25" i="15"/>
  <c r="E26" i="15"/>
  <c r="L26" i="15"/>
  <c r="E27" i="15"/>
  <c r="L27" i="15"/>
  <c r="E28" i="15"/>
  <c r="L28" i="15"/>
  <c r="E29" i="15"/>
  <c r="L29" i="15"/>
  <c r="E30" i="15"/>
  <c r="L30" i="15"/>
  <c r="E31" i="15"/>
  <c r="L31" i="15"/>
  <c r="E32" i="15"/>
  <c r="L32" i="15"/>
  <c r="E33" i="15"/>
  <c r="L33" i="15"/>
  <c r="E34" i="15"/>
  <c r="L34" i="15"/>
  <c r="E35" i="15"/>
  <c r="L35" i="15"/>
  <c r="E36" i="15"/>
  <c r="L36" i="15"/>
  <c r="E37" i="15"/>
  <c r="L37" i="15"/>
  <c r="E38" i="15"/>
  <c r="L38" i="15"/>
  <c r="E39" i="15"/>
  <c r="L39" i="15"/>
  <c r="E40" i="15"/>
  <c r="L40" i="15"/>
  <c r="E41" i="15"/>
  <c r="L41" i="15"/>
  <c r="E42" i="15"/>
  <c r="L42" i="15"/>
  <c r="E43" i="15"/>
  <c r="L43" i="15"/>
  <c r="E44" i="15"/>
  <c r="L44" i="15"/>
  <c r="E45" i="15"/>
  <c r="L45" i="15"/>
  <c r="E46" i="15"/>
  <c r="L46" i="15"/>
  <c r="E47" i="15"/>
  <c r="L47" i="15"/>
  <c r="E48" i="15"/>
  <c r="L48" i="15"/>
  <c r="E49" i="15"/>
  <c r="L49" i="15"/>
  <c r="E50" i="15"/>
  <c r="L50" i="15"/>
  <c r="L51" i="15"/>
  <c r="E52" i="15"/>
  <c r="L52" i="15"/>
  <c r="E53" i="15"/>
  <c r="E54" i="15" l="1"/>
  <c r="E56" i="15"/>
  <c r="E57" i="15"/>
  <c r="E59" i="15"/>
  <c r="L55" i="15"/>
  <c r="L56" i="15"/>
  <c r="L57" i="15"/>
  <c r="L58" i="15"/>
  <c r="L59" i="15"/>
  <c r="L60" i="15"/>
  <c r="L61" i="15"/>
  <c r="L62" i="15"/>
  <c r="L63" i="15"/>
  <c r="L64" i="15"/>
  <c r="L65" i="15"/>
  <c r="L66" i="15"/>
  <c r="L67" i="15"/>
  <c r="L68" i="15"/>
  <c r="L69" i="15"/>
  <c r="L70" i="15"/>
  <c r="K71" i="15"/>
  <c r="M71" i="15" l="1"/>
  <c r="J71" i="15"/>
  <c r="N70" i="15"/>
  <c r="E70" i="15"/>
  <c r="N69" i="15"/>
  <c r="E69" i="15"/>
  <c r="N68" i="15"/>
  <c r="E68" i="15"/>
  <c r="N67" i="15"/>
  <c r="E67" i="15"/>
  <c r="P67" i="15" s="1"/>
  <c r="N66" i="15"/>
  <c r="E66" i="15"/>
  <c r="N65" i="15"/>
  <c r="E65" i="15"/>
  <c r="N64" i="15"/>
  <c r="E64" i="15"/>
  <c r="N63" i="15"/>
  <c r="E63" i="15"/>
  <c r="N62" i="15"/>
  <c r="E62" i="15"/>
  <c r="N61" i="15"/>
  <c r="N71" i="15" s="1"/>
  <c r="E61" i="15"/>
  <c r="E71" i="15" s="1"/>
  <c r="O71" i="15"/>
  <c r="E127" i="13" l="1"/>
  <c r="E128" i="13"/>
  <c r="E129" i="13"/>
  <c r="E130" i="13"/>
  <c r="F280" i="13" l="1"/>
  <c r="G280" i="13"/>
  <c r="I280" i="13"/>
  <c r="H280" i="13"/>
  <c r="I25" i="8" l="1"/>
  <c r="J25" i="8"/>
  <c r="D25" i="8"/>
  <c r="J24" i="8"/>
  <c r="I24" i="8"/>
  <c r="F24" i="8"/>
  <c r="H24" i="8"/>
  <c r="E24" i="8"/>
  <c r="G24" i="8"/>
  <c r="B24" i="8"/>
  <c r="J23" i="8"/>
  <c r="F23" i="8"/>
  <c r="H23" i="8"/>
  <c r="E23" i="8"/>
  <c r="G23" i="8"/>
  <c r="B23" i="8"/>
  <c r="J22" i="8"/>
  <c r="F22" i="8"/>
  <c r="H22" i="8"/>
  <c r="E22" i="8"/>
  <c r="G22" i="8"/>
  <c r="B22" i="8"/>
  <c r="J21" i="8"/>
  <c r="F21" i="8"/>
  <c r="H21" i="8"/>
  <c r="E21" i="8"/>
  <c r="G21" i="8"/>
  <c r="B21" i="8"/>
  <c r="N20" i="8"/>
  <c r="O20" i="8"/>
  <c r="F20" i="8"/>
  <c r="H20" i="8"/>
  <c r="E20" i="8"/>
  <c r="G20" i="8"/>
  <c r="B20" i="8"/>
  <c r="J19" i="8"/>
  <c r="F19" i="8"/>
  <c r="H19" i="8"/>
  <c r="E19" i="8"/>
  <c r="E25" i="8"/>
  <c r="B19" i="8"/>
  <c r="N18" i="8"/>
  <c r="J18" i="8"/>
  <c r="F18" i="8"/>
  <c r="H18" i="8"/>
  <c r="E18" i="8"/>
  <c r="G18" i="8"/>
  <c r="B18" i="8"/>
  <c r="J17" i="8"/>
  <c r="F17" i="8"/>
  <c r="H17" i="8"/>
  <c r="E17" i="8"/>
  <c r="G17" i="8"/>
  <c r="B17" i="8"/>
  <c r="J16" i="8"/>
  <c r="F16" i="8"/>
  <c r="H16" i="8"/>
  <c r="E16" i="8"/>
  <c r="G16" i="8"/>
  <c r="B16" i="8"/>
  <c r="J15" i="8"/>
  <c r="F15" i="8"/>
  <c r="H15" i="8"/>
  <c r="E15" i="8"/>
  <c r="G15" i="8"/>
  <c r="B15" i="8"/>
  <c r="J14" i="8"/>
  <c r="F14" i="8"/>
  <c r="H14" i="8"/>
  <c r="E14" i="8"/>
  <c r="G14" i="8"/>
  <c r="B14" i="8"/>
  <c r="J13" i="8"/>
  <c r="F13" i="8"/>
  <c r="H13" i="8"/>
  <c r="E13" i="8"/>
  <c r="G13" i="8"/>
  <c r="B13" i="8"/>
  <c r="J12" i="8"/>
  <c r="F12" i="8"/>
  <c r="H12" i="8"/>
  <c r="E12" i="8"/>
  <c r="G12" i="8"/>
  <c r="B12" i="8"/>
  <c r="J11" i="8"/>
  <c r="F11" i="8"/>
  <c r="H11" i="8"/>
  <c r="E11" i="8"/>
  <c r="G11" i="8"/>
  <c r="B11" i="8"/>
  <c r="J10" i="8"/>
  <c r="F10" i="8"/>
  <c r="H10" i="8"/>
  <c r="E10" i="8"/>
  <c r="G10" i="8"/>
  <c r="B10" i="8"/>
  <c r="J9" i="8"/>
  <c r="F9" i="8"/>
  <c r="F25" i="8"/>
  <c r="E9" i="8"/>
  <c r="G9" i="8"/>
  <c r="B9" i="8"/>
  <c r="B25" i="8"/>
  <c r="C25" i="8"/>
  <c r="H9" i="8"/>
  <c r="H25" i="8"/>
  <c r="G19" i="8"/>
  <c r="G25" i="8"/>
  <c r="E218" i="13"/>
  <c r="M280" i="13"/>
  <c r="L280" i="13"/>
  <c r="K280" i="13"/>
  <c r="J280" i="13"/>
  <c r="N279" i="13"/>
  <c r="E279" i="13"/>
  <c r="N278" i="13"/>
  <c r="E278" i="13"/>
  <c r="N277" i="13"/>
  <c r="E277" i="13"/>
  <c r="N276" i="13"/>
  <c r="E276" i="13"/>
  <c r="N275" i="13"/>
  <c r="E275" i="13"/>
  <c r="N274" i="13"/>
  <c r="E274" i="13"/>
  <c r="N273" i="13"/>
  <c r="E273" i="13"/>
  <c r="N272" i="13"/>
  <c r="E272" i="13"/>
  <c r="N271" i="13"/>
  <c r="E271" i="13"/>
  <c r="N270" i="13"/>
  <c r="E270" i="13"/>
  <c r="N269" i="13"/>
  <c r="E269" i="13"/>
  <c r="N268" i="13"/>
  <c r="E268" i="13"/>
  <c r="N267" i="13"/>
  <c r="E267" i="13"/>
  <c r="N266" i="13"/>
  <c r="E266" i="13"/>
  <c r="N265" i="13"/>
  <c r="E265" i="13"/>
  <c r="N264" i="13"/>
  <c r="E264" i="13"/>
  <c r="N263" i="13"/>
  <c r="E263" i="13"/>
  <c r="N262" i="13"/>
  <c r="E262" i="13"/>
  <c r="N261" i="13"/>
  <c r="E261" i="13"/>
  <c r="N260" i="13"/>
  <c r="E260" i="13"/>
  <c r="P260" i="13"/>
  <c r="N259" i="13"/>
  <c r="E259" i="13"/>
  <c r="N258" i="13"/>
  <c r="E258" i="13"/>
  <c r="N257" i="13"/>
  <c r="E257" i="13"/>
  <c r="N256" i="13"/>
  <c r="E256" i="13"/>
  <c r="N255" i="13"/>
  <c r="E255" i="13"/>
  <c r="N254" i="13"/>
  <c r="E254" i="13"/>
  <c r="N253" i="13"/>
  <c r="E253" i="13"/>
  <c r="N252" i="13"/>
  <c r="E252" i="13"/>
  <c r="N251" i="13"/>
  <c r="E251" i="13"/>
  <c r="N250" i="13"/>
  <c r="E250" i="13"/>
  <c r="N249" i="13"/>
  <c r="E249" i="13"/>
  <c r="N248" i="13"/>
  <c r="E248" i="13"/>
  <c r="N247" i="13"/>
  <c r="E247" i="13"/>
  <c r="N246" i="13"/>
  <c r="E246" i="13"/>
  <c r="N245" i="13"/>
  <c r="E245" i="13"/>
  <c r="N244" i="13"/>
  <c r="E244" i="13"/>
  <c r="N243" i="13"/>
  <c r="E243" i="13"/>
  <c r="N242" i="13"/>
  <c r="E242" i="13"/>
  <c r="N241" i="13"/>
  <c r="E241" i="13"/>
  <c r="N240" i="13"/>
  <c r="E240" i="13"/>
  <c r="N239" i="13"/>
  <c r="E239" i="13"/>
  <c r="N238" i="13"/>
  <c r="E238" i="13"/>
  <c r="N237" i="13"/>
  <c r="E237" i="13"/>
  <c r="N236" i="13"/>
  <c r="E236" i="13"/>
  <c r="N235" i="13"/>
  <c r="E235" i="13"/>
  <c r="N234" i="13"/>
  <c r="E234" i="13"/>
  <c r="N233" i="13"/>
  <c r="E233" i="13"/>
  <c r="N232" i="13"/>
  <c r="E232" i="13"/>
  <c r="N231" i="13"/>
  <c r="E231" i="13"/>
  <c r="N230" i="13"/>
  <c r="E230" i="13"/>
  <c r="N229" i="13"/>
  <c r="E229" i="13"/>
  <c r="N228" i="13"/>
  <c r="E228" i="13"/>
  <c r="N227" i="13"/>
  <c r="E227" i="13"/>
  <c r="N226" i="13"/>
  <c r="E226" i="13"/>
  <c r="N225" i="13"/>
  <c r="E225" i="13"/>
  <c r="N224" i="13"/>
  <c r="E224" i="13"/>
  <c r="T224" i="13"/>
  <c r="N223" i="13"/>
  <c r="E223" i="13"/>
  <c r="N222" i="13"/>
  <c r="E222" i="13"/>
  <c r="N221" i="13"/>
  <c r="E221" i="13"/>
  <c r="N220" i="13"/>
  <c r="E220" i="13"/>
  <c r="N219" i="13"/>
  <c r="E219" i="13"/>
  <c r="N218" i="13"/>
  <c r="N217" i="13"/>
  <c r="E217" i="13"/>
  <c r="N216" i="13"/>
  <c r="E216" i="13"/>
  <c r="N215" i="13"/>
  <c r="E215" i="13"/>
  <c r="N214" i="13"/>
  <c r="E214" i="13"/>
  <c r="N213" i="13"/>
  <c r="E213" i="13"/>
  <c r="N212" i="13"/>
  <c r="E212" i="13"/>
  <c r="N211" i="13"/>
  <c r="E211" i="13"/>
  <c r="N210" i="13"/>
  <c r="E210" i="13"/>
  <c r="N209" i="13"/>
  <c r="E209" i="13"/>
  <c r="N208" i="13"/>
  <c r="E208" i="13"/>
  <c r="N207" i="13"/>
  <c r="E207" i="13"/>
  <c r="N206" i="13"/>
  <c r="E206" i="13"/>
  <c r="N205" i="13"/>
  <c r="E205" i="13"/>
  <c r="N204" i="13"/>
  <c r="E204" i="13"/>
  <c r="N203" i="13"/>
  <c r="E203" i="13"/>
  <c r="N202" i="13"/>
  <c r="E202" i="13"/>
  <c r="O201" i="13"/>
  <c r="O280" i="13"/>
  <c r="N201" i="13"/>
  <c r="E201" i="13"/>
  <c r="N200" i="13"/>
  <c r="E200" i="13"/>
  <c r="N199" i="13"/>
  <c r="E199" i="13"/>
  <c r="N198" i="13"/>
  <c r="E198" i="13"/>
  <c r="N197" i="13"/>
  <c r="E197" i="13"/>
  <c r="N196" i="13"/>
  <c r="E196" i="13"/>
  <c r="N195" i="13"/>
  <c r="E195" i="13"/>
  <c r="N194" i="13"/>
  <c r="E194" i="13"/>
  <c r="N193" i="13"/>
  <c r="E193" i="13"/>
  <c r="N192" i="13"/>
  <c r="E192" i="13"/>
  <c r="N191" i="13"/>
  <c r="E191" i="13"/>
  <c r="N190" i="13"/>
  <c r="E190" i="13"/>
  <c r="N189" i="13"/>
  <c r="E189" i="13"/>
  <c r="N188" i="13"/>
  <c r="E188" i="13"/>
  <c r="N187" i="13"/>
  <c r="E187" i="13"/>
  <c r="N186" i="13"/>
  <c r="E186" i="13"/>
  <c r="N185" i="13"/>
  <c r="E185" i="13"/>
  <c r="N184" i="13"/>
  <c r="E184" i="13"/>
  <c r="N183" i="13"/>
  <c r="E183" i="13"/>
  <c r="N182" i="13"/>
  <c r="E182" i="13"/>
  <c r="N181" i="13"/>
  <c r="E181" i="13"/>
  <c r="N180" i="13"/>
  <c r="E180" i="13"/>
  <c r="N179" i="13"/>
  <c r="E179" i="13"/>
  <c r="N178" i="13"/>
  <c r="E178" i="13"/>
  <c r="N177" i="13"/>
  <c r="E177" i="13"/>
  <c r="N176" i="13"/>
  <c r="E176" i="13"/>
  <c r="N175" i="13"/>
  <c r="E175" i="13"/>
  <c r="N174" i="13"/>
  <c r="E174" i="13"/>
  <c r="N173" i="13"/>
  <c r="E173" i="13"/>
  <c r="N172" i="13"/>
  <c r="E172" i="13"/>
  <c r="N171" i="13"/>
  <c r="E171" i="13"/>
  <c r="N170" i="13"/>
  <c r="E170" i="13"/>
  <c r="N169" i="13"/>
  <c r="E169" i="13"/>
  <c r="N168" i="13"/>
  <c r="E168" i="13"/>
  <c r="N167" i="13"/>
  <c r="E167" i="13"/>
  <c r="N166" i="13"/>
  <c r="E166" i="13"/>
  <c r="N165" i="13"/>
  <c r="E165" i="13"/>
  <c r="N164" i="13"/>
  <c r="E164" i="13"/>
  <c r="N163" i="13"/>
  <c r="E163" i="13"/>
  <c r="N162" i="13"/>
  <c r="E162" i="13"/>
  <c r="N161" i="13"/>
  <c r="E161" i="13"/>
  <c r="N160" i="13"/>
  <c r="E160" i="13"/>
  <c r="N159" i="13"/>
  <c r="E159" i="13"/>
  <c r="N158" i="13"/>
  <c r="E158" i="13"/>
  <c r="N157" i="13"/>
  <c r="E157" i="13"/>
  <c r="N156" i="13"/>
  <c r="E156" i="13"/>
  <c r="N155" i="13"/>
  <c r="E155" i="13"/>
  <c r="N154" i="13"/>
  <c r="E154" i="13"/>
  <c r="N153" i="13"/>
  <c r="E153" i="13"/>
  <c r="N152" i="13"/>
  <c r="E152" i="13"/>
  <c r="N151" i="13"/>
  <c r="E151" i="13"/>
  <c r="N150" i="13"/>
  <c r="E150" i="13"/>
  <c r="N149" i="13"/>
  <c r="E149" i="13"/>
  <c r="N148" i="13"/>
  <c r="E148" i="13"/>
  <c r="N147" i="13"/>
  <c r="E147" i="13"/>
  <c r="N146" i="13"/>
  <c r="E146" i="13"/>
  <c r="N145" i="13"/>
  <c r="E145" i="13"/>
  <c r="N144" i="13"/>
  <c r="E144" i="13"/>
  <c r="N143" i="13"/>
  <c r="E143" i="13"/>
  <c r="N142" i="13"/>
  <c r="E142" i="13"/>
  <c r="N141" i="13"/>
  <c r="E141" i="13"/>
  <c r="N140" i="13"/>
  <c r="E140" i="13"/>
  <c r="N139" i="13"/>
  <c r="E139" i="13"/>
  <c r="N138" i="13"/>
  <c r="E138" i="13"/>
  <c r="N137" i="13"/>
  <c r="E137" i="13"/>
  <c r="N136" i="13"/>
  <c r="E136" i="13"/>
  <c r="N135" i="13"/>
  <c r="E135" i="13"/>
  <c r="N134" i="13"/>
  <c r="E134" i="13"/>
  <c r="N133" i="13"/>
  <c r="E133" i="13"/>
  <c r="N132" i="13"/>
  <c r="E132" i="13"/>
  <c r="N131" i="13"/>
  <c r="E131" i="13"/>
  <c r="N130" i="13"/>
  <c r="N129" i="13"/>
  <c r="N128" i="13"/>
  <c r="N127" i="13"/>
  <c r="N126" i="13"/>
  <c r="E126" i="13"/>
  <c r="N125" i="13"/>
  <c r="E125" i="13"/>
  <c r="N124" i="13"/>
  <c r="E124" i="13"/>
  <c r="N123" i="13"/>
  <c r="E123" i="13"/>
  <c r="N122" i="13"/>
  <c r="E122" i="13"/>
  <c r="N121" i="13"/>
  <c r="E121" i="13"/>
  <c r="N120" i="13"/>
  <c r="E120" i="13"/>
  <c r="N119" i="13"/>
  <c r="E119" i="13"/>
  <c r="N118" i="13"/>
  <c r="E118" i="13"/>
  <c r="N117" i="13"/>
  <c r="E117" i="13"/>
  <c r="N116" i="13"/>
  <c r="E116" i="13"/>
  <c r="N115" i="13"/>
  <c r="E115" i="13"/>
  <c r="N114" i="13"/>
  <c r="E114" i="13"/>
  <c r="N113" i="13"/>
  <c r="E113" i="13"/>
  <c r="N112" i="13"/>
  <c r="E112" i="13"/>
  <c r="N111" i="13"/>
  <c r="E111" i="13"/>
  <c r="N110" i="13"/>
  <c r="E110" i="13"/>
  <c r="N109" i="13"/>
  <c r="E109" i="13"/>
  <c r="N108" i="13"/>
  <c r="E108" i="13"/>
  <c r="R107" i="13"/>
  <c r="N107" i="13"/>
  <c r="N106" i="13"/>
  <c r="E106" i="13"/>
  <c r="N105" i="13"/>
  <c r="E105" i="13"/>
  <c r="N104" i="13"/>
  <c r="E104" i="13"/>
  <c r="N103" i="13"/>
  <c r="E103" i="13"/>
  <c r="N102" i="13"/>
  <c r="E102" i="13"/>
  <c r="N101" i="13"/>
  <c r="E101" i="13"/>
  <c r="N100" i="13"/>
  <c r="E100" i="13"/>
  <c r="N99" i="13"/>
  <c r="E99" i="13"/>
  <c r="N98" i="13"/>
  <c r="E98" i="13"/>
  <c r="N97" i="13"/>
  <c r="E97" i="13"/>
  <c r="N96" i="13"/>
  <c r="E96" i="13"/>
  <c r="N95" i="13"/>
  <c r="E95" i="13"/>
  <c r="N94" i="13"/>
  <c r="E94" i="13"/>
  <c r="N93" i="13"/>
  <c r="E93" i="13"/>
  <c r="N92" i="13"/>
  <c r="E92" i="13"/>
  <c r="N91" i="13"/>
  <c r="E91" i="13"/>
  <c r="N90" i="13"/>
  <c r="E90" i="13"/>
  <c r="N89" i="13"/>
  <c r="E89" i="13"/>
  <c r="N88" i="13"/>
  <c r="E88" i="13"/>
  <c r="N87" i="13"/>
  <c r="E87" i="13"/>
  <c r="N86" i="13"/>
  <c r="E86" i="13"/>
  <c r="N85" i="13"/>
  <c r="E85" i="13"/>
  <c r="N84" i="13"/>
  <c r="E84" i="13"/>
  <c r="N83" i="13"/>
  <c r="E83" i="13"/>
  <c r="N82" i="13"/>
  <c r="E82" i="13"/>
  <c r="N81" i="13"/>
  <c r="E81" i="13"/>
  <c r="N80" i="13"/>
  <c r="E80" i="13"/>
  <c r="N79" i="13"/>
  <c r="E79" i="13"/>
  <c r="N78" i="13"/>
  <c r="E78" i="13"/>
  <c r="N77" i="13"/>
  <c r="E77" i="13"/>
  <c r="N76" i="13"/>
  <c r="E76" i="13"/>
  <c r="N75" i="13"/>
  <c r="E75" i="13"/>
  <c r="N74" i="13"/>
  <c r="E74" i="13"/>
  <c r="N73" i="13"/>
  <c r="E73" i="13"/>
  <c r="N72" i="13"/>
  <c r="E72" i="13"/>
  <c r="N71" i="13"/>
  <c r="E71" i="13"/>
  <c r="N70" i="13"/>
  <c r="E70" i="13"/>
  <c r="N69" i="13"/>
  <c r="E69" i="13"/>
  <c r="N68" i="13"/>
  <c r="E68" i="13"/>
  <c r="N67" i="13"/>
  <c r="E67" i="13"/>
  <c r="N66" i="13"/>
  <c r="E66" i="13"/>
  <c r="N65" i="13"/>
  <c r="N64" i="13"/>
  <c r="E64" i="13"/>
  <c r="N63" i="13"/>
  <c r="E63" i="13"/>
  <c r="N62" i="13"/>
  <c r="E62" i="13"/>
  <c r="N61" i="13"/>
  <c r="E61" i="13"/>
  <c r="N60" i="13"/>
  <c r="E60" i="13"/>
  <c r="N59" i="13"/>
  <c r="E59" i="13"/>
  <c r="N58" i="13"/>
  <c r="E58" i="13"/>
  <c r="N57" i="13"/>
  <c r="E57" i="13"/>
  <c r="N56" i="13"/>
  <c r="E56" i="13"/>
  <c r="N55" i="13"/>
  <c r="E55" i="13"/>
  <c r="N54" i="13"/>
  <c r="E54" i="13"/>
  <c r="N53" i="13"/>
  <c r="E53" i="13"/>
  <c r="N52" i="13"/>
  <c r="E52" i="13"/>
  <c r="N51" i="13"/>
  <c r="E51" i="13"/>
  <c r="N50" i="13"/>
  <c r="E50" i="13"/>
  <c r="N49" i="13"/>
  <c r="E49" i="13"/>
  <c r="N48" i="13"/>
  <c r="E48" i="13"/>
  <c r="N47" i="13"/>
  <c r="E47" i="13"/>
  <c r="N46" i="13"/>
  <c r="E46" i="13"/>
  <c r="N45" i="13"/>
  <c r="E45" i="13"/>
  <c r="N44" i="13"/>
  <c r="E44" i="13"/>
  <c r="N43" i="13"/>
  <c r="E43" i="13"/>
  <c r="N42" i="13"/>
  <c r="E42" i="13"/>
  <c r="N41" i="13"/>
  <c r="E41" i="13"/>
  <c r="N40" i="13"/>
  <c r="E40" i="13"/>
  <c r="N39" i="13"/>
  <c r="E39" i="13"/>
  <c r="N38" i="13"/>
  <c r="E38" i="13"/>
  <c r="N37" i="13"/>
  <c r="E37" i="13"/>
  <c r="N36" i="13"/>
  <c r="E36" i="13"/>
  <c r="N35" i="13"/>
  <c r="E35" i="13"/>
  <c r="N34" i="13"/>
  <c r="E34" i="13"/>
  <c r="N33" i="13"/>
  <c r="E33" i="13"/>
  <c r="N32" i="13"/>
  <c r="E32" i="13"/>
  <c r="N31" i="13"/>
  <c r="E31" i="13"/>
  <c r="N30" i="13"/>
  <c r="E30" i="13"/>
  <c r="N29" i="13"/>
  <c r="E29" i="13"/>
  <c r="N28" i="13"/>
  <c r="E28" i="13"/>
  <c r="N27" i="13"/>
  <c r="E27" i="13"/>
  <c r="N26" i="13"/>
  <c r="E26" i="13"/>
  <c r="N25" i="13"/>
  <c r="E25" i="13"/>
  <c r="N24" i="13"/>
  <c r="E24" i="13"/>
  <c r="N23" i="13"/>
  <c r="E23" i="13"/>
  <c r="N22" i="13"/>
  <c r="E22" i="13"/>
  <c r="N21" i="13"/>
  <c r="E21" i="13"/>
  <c r="N20" i="13"/>
  <c r="E20" i="13"/>
  <c r="N19" i="13"/>
  <c r="E19" i="13"/>
  <c r="N18" i="13"/>
  <c r="E18" i="13"/>
  <c r="N17" i="13"/>
  <c r="E17" i="13"/>
  <c r="N16" i="13"/>
  <c r="E16" i="13"/>
  <c r="N15" i="13"/>
  <c r="E15" i="13"/>
  <c r="N14" i="13"/>
  <c r="E14" i="13"/>
  <c r="N13" i="13"/>
  <c r="E13" i="13"/>
  <c r="N12" i="13"/>
  <c r="E12" i="13"/>
  <c r="N11" i="13"/>
  <c r="E11" i="13"/>
  <c r="N10" i="13"/>
  <c r="E10" i="13"/>
  <c r="N9" i="13"/>
  <c r="E9" i="13"/>
  <c r="N8" i="13"/>
  <c r="E8" i="13"/>
  <c r="N7" i="13"/>
  <c r="E7" i="13"/>
  <c r="N6" i="13"/>
  <c r="E6" i="13"/>
  <c r="N5" i="13"/>
  <c r="E5" i="13"/>
  <c r="N4" i="13"/>
  <c r="E4" i="13"/>
  <c r="N3" i="13"/>
  <c r="E3" i="13"/>
  <c r="I279" i="1"/>
  <c r="H279" i="1"/>
  <c r="G279" i="1"/>
  <c r="F279" i="1"/>
  <c r="E278" i="1"/>
  <c r="E277" i="1"/>
  <c r="E276" i="1"/>
  <c r="E275" i="1"/>
  <c r="E223" i="1"/>
  <c r="T223" i="1" s="1"/>
  <c r="E280" i="13"/>
  <c r="E282" i="13" s="1"/>
  <c r="N280" i="13"/>
  <c r="S224" i="13"/>
  <c r="N275" i="1"/>
  <c r="N276" i="1"/>
  <c r="N277" i="1"/>
  <c r="N278" i="1"/>
  <c r="B20" i="4"/>
  <c r="B42" i="4"/>
  <c r="C40" i="4"/>
  <c r="D40" i="4"/>
  <c r="I4" i="4"/>
  <c r="I6" i="4"/>
  <c r="I8" i="4"/>
  <c r="I10" i="4"/>
  <c r="I12" i="4"/>
  <c r="I14" i="4"/>
  <c r="I16" i="4"/>
  <c r="I18" i="4"/>
  <c r="C19" i="4"/>
  <c r="D19" i="4"/>
  <c r="C5" i="4"/>
  <c r="D5" i="4"/>
  <c r="E42" i="4"/>
  <c r="C41" i="4"/>
  <c r="D41" i="4"/>
  <c r="C39" i="4"/>
  <c r="D39" i="4"/>
  <c r="C36" i="4"/>
  <c r="D36" i="4"/>
  <c r="C34" i="4"/>
  <c r="D34" i="4"/>
  <c r="C33" i="4"/>
  <c r="D33" i="4"/>
  <c r="C31" i="4"/>
  <c r="D31" i="4"/>
  <c r="C28" i="4"/>
  <c r="D28" i="4"/>
  <c r="G26" i="4"/>
  <c r="C26" i="4"/>
  <c r="C42" i="4"/>
  <c r="C27" i="4"/>
  <c r="D27" i="4"/>
  <c r="C29" i="4"/>
  <c r="D29" i="4"/>
  <c r="C30" i="4"/>
  <c r="D30" i="4"/>
  <c r="C32" i="4"/>
  <c r="D32" i="4"/>
  <c r="C35" i="4"/>
  <c r="D35" i="4"/>
  <c r="C37" i="4"/>
  <c r="D37" i="4"/>
  <c r="C38" i="4"/>
  <c r="D38" i="4"/>
  <c r="C4" i="4"/>
  <c r="I19" i="4"/>
  <c r="I17" i="4"/>
  <c r="I15" i="4"/>
  <c r="I13" i="4"/>
  <c r="I11" i="4"/>
  <c r="I9" i="4"/>
  <c r="I7" i="4"/>
  <c r="I5" i="4"/>
  <c r="D26" i="4"/>
  <c r="D42" i="4"/>
  <c r="C18" i="4"/>
  <c r="D18" i="4"/>
  <c r="C16" i="4"/>
  <c r="D16" i="4"/>
  <c r="C14" i="4"/>
  <c r="D14" i="4"/>
  <c r="C12" i="4"/>
  <c r="D12" i="4"/>
  <c r="C10" i="4"/>
  <c r="D10" i="4"/>
  <c r="C8" i="4"/>
  <c r="D8" i="4"/>
  <c r="C6" i="4"/>
  <c r="D6" i="4"/>
  <c r="C17" i="4"/>
  <c r="D17" i="4"/>
  <c r="C15" i="4"/>
  <c r="D15" i="4"/>
  <c r="C13" i="4"/>
  <c r="D13" i="4"/>
  <c r="C11" i="4"/>
  <c r="D11" i="4"/>
  <c r="C9" i="4"/>
  <c r="D9" i="4"/>
  <c r="C7" i="4"/>
  <c r="D7" i="4"/>
  <c r="C20" i="4"/>
  <c r="D4" i="4"/>
  <c r="D20" i="4"/>
  <c r="H41" i="4"/>
  <c r="H39" i="4"/>
  <c r="H37" i="4"/>
  <c r="H35" i="4"/>
  <c r="H33" i="4"/>
  <c r="H31" i="4"/>
  <c r="H29" i="4"/>
  <c r="H27" i="4"/>
  <c r="H40" i="4"/>
  <c r="H38" i="4"/>
  <c r="H36" i="4"/>
  <c r="H34" i="4"/>
  <c r="H32" i="4"/>
  <c r="H30" i="4"/>
  <c r="H28" i="4"/>
  <c r="H26" i="4"/>
  <c r="J279" i="1"/>
  <c r="K279" i="1"/>
  <c r="L279" i="1"/>
  <c r="M279" i="1"/>
  <c r="S19" i="12"/>
  <c r="E121" i="11"/>
  <c r="N121" i="11"/>
  <c r="U121" i="11"/>
  <c r="F270" i="11"/>
  <c r="G270" i="11"/>
  <c r="H270" i="11"/>
  <c r="I270" i="11"/>
  <c r="P19" i="12"/>
  <c r="P20" i="12"/>
  <c r="L19" i="12"/>
  <c r="L20" i="12"/>
  <c r="I19" i="12"/>
  <c r="C19" i="12"/>
  <c r="U19" i="12"/>
  <c r="U21" i="12"/>
  <c r="F19" i="12"/>
  <c r="I20" i="12"/>
  <c r="F20" i="12"/>
  <c r="H272" i="11"/>
  <c r="Z3" i="11"/>
  <c r="Y3" i="11"/>
  <c r="X3" i="11"/>
  <c r="W3" i="11"/>
  <c r="U268" i="11"/>
  <c r="U269" i="11"/>
  <c r="U235" i="11"/>
  <c r="U107" i="11"/>
  <c r="U4" i="11"/>
  <c r="U5" i="11"/>
  <c r="U6" i="11"/>
  <c r="U7" i="11"/>
  <c r="U8" i="11"/>
  <c r="U9" i="11"/>
  <c r="U10" i="11"/>
  <c r="U11" i="11"/>
  <c r="U12" i="11"/>
  <c r="U13" i="11"/>
  <c r="U14" i="11"/>
  <c r="U15" i="11"/>
  <c r="U16" i="11"/>
  <c r="U17" i="11"/>
  <c r="U18" i="11"/>
  <c r="U19" i="11"/>
  <c r="U20" i="11"/>
  <c r="U21" i="11"/>
  <c r="U22" i="11"/>
  <c r="U23" i="11"/>
  <c r="U24" i="11"/>
  <c r="U25" i="11"/>
  <c r="U26" i="11"/>
  <c r="U27" i="11"/>
  <c r="U28" i="11"/>
  <c r="U29" i="11"/>
  <c r="U30" i="11"/>
  <c r="U31" i="11"/>
  <c r="U32" i="11"/>
  <c r="U33" i="11"/>
  <c r="U34" i="11"/>
  <c r="U35" i="11"/>
  <c r="U36" i="11"/>
  <c r="U37" i="11"/>
  <c r="U38" i="11"/>
  <c r="U39" i="11"/>
  <c r="U40" i="11"/>
  <c r="U41" i="11"/>
  <c r="U42" i="11"/>
  <c r="U43" i="11"/>
  <c r="U44" i="11"/>
  <c r="U45" i="11"/>
  <c r="U46" i="11"/>
  <c r="U47" i="11"/>
  <c r="U48" i="11"/>
  <c r="U49" i="11"/>
  <c r="U50" i="11"/>
  <c r="U51" i="11"/>
  <c r="U52" i="11"/>
  <c r="U53" i="11"/>
  <c r="U54" i="11"/>
  <c r="U55" i="11"/>
  <c r="U56" i="11"/>
  <c r="U57" i="11"/>
  <c r="U58" i="11"/>
  <c r="U59" i="11"/>
  <c r="U60" i="11"/>
  <c r="U61" i="11"/>
  <c r="U62" i="11"/>
  <c r="U63" i="11"/>
  <c r="U64" i="11"/>
  <c r="U65" i="11"/>
  <c r="U66" i="11"/>
  <c r="U67" i="11"/>
  <c r="U68" i="11"/>
  <c r="U69" i="11"/>
  <c r="U70" i="11"/>
  <c r="U71" i="11"/>
  <c r="U72" i="11"/>
  <c r="U73" i="11"/>
  <c r="U74" i="11"/>
  <c r="U75" i="11"/>
  <c r="U76" i="11"/>
  <c r="U77" i="11"/>
  <c r="U78" i="11"/>
  <c r="U79" i="11"/>
  <c r="U80" i="11"/>
  <c r="U81" i="11"/>
  <c r="U82" i="11"/>
  <c r="U83" i="11"/>
  <c r="U84" i="11"/>
  <c r="U85" i="11"/>
  <c r="U86" i="11"/>
  <c r="U87" i="11"/>
  <c r="U88" i="11"/>
  <c r="U89" i="11"/>
  <c r="U90" i="11"/>
  <c r="U91" i="11"/>
  <c r="U92" i="11"/>
  <c r="U93" i="11"/>
  <c r="U94" i="11"/>
  <c r="U95" i="11"/>
  <c r="U96" i="11"/>
  <c r="U97" i="11"/>
  <c r="U98" i="11"/>
  <c r="U99" i="11"/>
  <c r="U100" i="11"/>
  <c r="U101" i="11"/>
  <c r="U102" i="11"/>
  <c r="U103" i="11"/>
  <c r="U104" i="11"/>
  <c r="U105" i="11"/>
  <c r="U106" i="11"/>
  <c r="U108" i="11"/>
  <c r="U109" i="11"/>
  <c r="U110" i="11"/>
  <c r="U111" i="11"/>
  <c r="U112" i="11"/>
  <c r="U113" i="11"/>
  <c r="U114" i="11"/>
  <c r="U115" i="11"/>
  <c r="U116" i="11"/>
  <c r="U117" i="11"/>
  <c r="U118" i="11"/>
  <c r="U119" i="11"/>
  <c r="U120" i="11"/>
  <c r="U122" i="11"/>
  <c r="U123" i="11"/>
  <c r="U124" i="11"/>
  <c r="U125" i="11"/>
  <c r="U126" i="11"/>
  <c r="U127" i="11"/>
  <c r="U128" i="11"/>
  <c r="U129" i="11"/>
  <c r="U130" i="11"/>
  <c r="U131" i="11"/>
  <c r="U132" i="11"/>
  <c r="U133" i="11"/>
  <c r="U134" i="11"/>
  <c r="U135" i="11"/>
  <c r="U136" i="11"/>
  <c r="U137" i="11"/>
  <c r="U138" i="11"/>
  <c r="U139" i="11"/>
  <c r="U140" i="11"/>
  <c r="U141" i="11"/>
  <c r="U142" i="11"/>
  <c r="U143" i="11"/>
  <c r="U144" i="11"/>
  <c r="U145" i="11"/>
  <c r="U146" i="11"/>
  <c r="U147" i="11"/>
  <c r="U148" i="11"/>
  <c r="U149" i="11"/>
  <c r="U150" i="11"/>
  <c r="U151" i="11"/>
  <c r="U152" i="11"/>
  <c r="U153" i="11"/>
  <c r="U154" i="11"/>
  <c r="U155" i="11"/>
  <c r="U156" i="11"/>
  <c r="U157" i="11"/>
  <c r="U158" i="11"/>
  <c r="U159" i="11"/>
  <c r="U160" i="11"/>
  <c r="U161" i="11"/>
  <c r="U162" i="11"/>
  <c r="U163" i="11"/>
  <c r="U164" i="11"/>
  <c r="U165" i="11"/>
  <c r="U166" i="11"/>
  <c r="U167" i="11"/>
  <c r="U168" i="11"/>
  <c r="U169" i="11"/>
  <c r="U170" i="11"/>
  <c r="U171" i="11"/>
  <c r="U172" i="11"/>
  <c r="U173" i="11"/>
  <c r="U174" i="11"/>
  <c r="U175" i="11"/>
  <c r="U176" i="11"/>
  <c r="U177" i="11"/>
  <c r="U178" i="11"/>
  <c r="U179" i="11"/>
  <c r="U180" i="11"/>
  <c r="U181" i="11"/>
  <c r="U182" i="11"/>
  <c r="U183" i="11"/>
  <c r="U184" i="11"/>
  <c r="U185" i="11"/>
  <c r="U186" i="11"/>
  <c r="U187" i="11"/>
  <c r="U188" i="11"/>
  <c r="U189" i="11"/>
  <c r="U190" i="11"/>
  <c r="U191" i="11"/>
  <c r="U192" i="11"/>
  <c r="U193" i="11"/>
  <c r="U194" i="11"/>
  <c r="U195" i="11"/>
  <c r="U196" i="11"/>
  <c r="U197" i="11"/>
  <c r="U198" i="11"/>
  <c r="U199" i="11"/>
  <c r="U200" i="11"/>
  <c r="U201" i="11"/>
  <c r="U202" i="11"/>
  <c r="U203" i="11"/>
  <c r="U204" i="11"/>
  <c r="U205" i="11"/>
  <c r="U206" i="11"/>
  <c r="U207" i="11"/>
  <c r="U208" i="11"/>
  <c r="U209" i="11"/>
  <c r="U210" i="11"/>
  <c r="U211" i="11"/>
  <c r="U212" i="11"/>
  <c r="U213" i="11"/>
  <c r="U214" i="11"/>
  <c r="U215" i="11"/>
  <c r="U216" i="11"/>
  <c r="U217" i="11"/>
  <c r="U218" i="11"/>
  <c r="U219" i="11"/>
  <c r="U220" i="11"/>
  <c r="U221" i="11"/>
  <c r="U222" i="11"/>
  <c r="U223" i="11"/>
  <c r="U224" i="11"/>
  <c r="U225" i="11"/>
  <c r="U226" i="11"/>
  <c r="U227" i="11"/>
  <c r="U228" i="11"/>
  <c r="U229" i="11"/>
  <c r="U230" i="11"/>
  <c r="U231" i="11"/>
  <c r="U232" i="11"/>
  <c r="U233" i="11"/>
  <c r="U234" i="11"/>
  <c r="U236" i="11"/>
  <c r="U237" i="11"/>
  <c r="U238" i="11"/>
  <c r="U239" i="11"/>
  <c r="U240" i="11"/>
  <c r="U241" i="11"/>
  <c r="U242" i="11"/>
  <c r="U243" i="11"/>
  <c r="U244" i="11"/>
  <c r="U245" i="11"/>
  <c r="U246" i="11"/>
  <c r="U247" i="11"/>
  <c r="U248" i="11"/>
  <c r="U249" i="11"/>
  <c r="U250" i="11"/>
  <c r="U251" i="11"/>
  <c r="U252" i="11"/>
  <c r="U253" i="11"/>
  <c r="U254" i="11"/>
  <c r="U255" i="11"/>
  <c r="U256" i="11"/>
  <c r="U257" i="11"/>
  <c r="U258" i="11"/>
  <c r="U259" i="11"/>
  <c r="U260" i="11"/>
  <c r="U261" i="11"/>
  <c r="U262" i="11"/>
  <c r="U263" i="11"/>
  <c r="U264" i="11"/>
  <c r="U265" i="11"/>
  <c r="U266" i="11"/>
  <c r="U267" i="11"/>
  <c r="U270" i="11"/>
  <c r="E270" i="1"/>
  <c r="N270" i="1"/>
  <c r="L270" i="11"/>
  <c r="N269" i="11"/>
  <c r="E269" i="11"/>
  <c r="N268" i="11"/>
  <c r="E268" i="11"/>
  <c r="N267" i="11"/>
  <c r="E267" i="11"/>
  <c r="N266" i="11"/>
  <c r="E266" i="11"/>
  <c r="N265" i="11"/>
  <c r="E265" i="11"/>
  <c r="N264" i="11"/>
  <c r="E264" i="11"/>
  <c r="N263" i="11"/>
  <c r="E263" i="11"/>
  <c r="N262" i="11"/>
  <c r="E262" i="11"/>
  <c r="N261" i="11"/>
  <c r="E261" i="11"/>
  <c r="N260" i="11"/>
  <c r="E260" i="11"/>
  <c r="N259" i="11"/>
  <c r="E259" i="11"/>
  <c r="N258" i="11"/>
  <c r="E258" i="11"/>
  <c r="N257" i="11"/>
  <c r="E257" i="11"/>
  <c r="N256" i="11"/>
  <c r="E256" i="11"/>
  <c r="N255" i="11"/>
  <c r="E255" i="11"/>
  <c r="P255" i="11"/>
  <c r="N254" i="11"/>
  <c r="E254" i="11"/>
  <c r="N253" i="11"/>
  <c r="E253" i="11"/>
  <c r="N252" i="11"/>
  <c r="E252" i="11"/>
  <c r="N251" i="11"/>
  <c r="E251" i="11"/>
  <c r="N250" i="11"/>
  <c r="E250" i="11"/>
  <c r="N249" i="11"/>
  <c r="E249" i="11"/>
  <c r="N248" i="11"/>
  <c r="E248" i="11"/>
  <c r="N247" i="11"/>
  <c r="E247" i="11"/>
  <c r="N246" i="11"/>
  <c r="E246" i="11"/>
  <c r="N245" i="11"/>
  <c r="E245" i="11"/>
  <c r="N244" i="11"/>
  <c r="E244" i="11"/>
  <c r="N243" i="11"/>
  <c r="E243" i="11"/>
  <c r="N242" i="11"/>
  <c r="E242" i="11"/>
  <c r="N241" i="11"/>
  <c r="E241" i="11"/>
  <c r="N240" i="11"/>
  <c r="E240" i="11"/>
  <c r="N239" i="11"/>
  <c r="E239" i="11"/>
  <c r="N238" i="11"/>
  <c r="E238" i="11"/>
  <c r="N237" i="11"/>
  <c r="E237" i="11"/>
  <c r="N236" i="11"/>
  <c r="E236" i="11"/>
  <c r="N235" i="11"/>
  <c r="E235" i="11"/>
  <c r="N234" i="11"/>
  <c r="E234" i="11"/>
  <c r="N233" i="11"/>
  <c r="E233" i="11"/>
  <c r="N232" i="11"/>
  <c r="E232" i="11"/>
  <c r="N231" i="11"/>
  <c r="E231" i="11"/>
  <c r="N230" i="11"/>
  <c r="E230" i="11"/>
  <c r="N229" i="11"/>
  <c r="E229" i="11"/>
  <c r="N228" i="11"/>
  <c r="E228" i="11"/>
  <c r="N227" i="11"/>
  <c r="E227" i="11"/>
  <c r="N226" i="11"/>
  <c r="E226" i="11"/>
  <c r="N225" i="11"/>
  <c r="E225" i="11"/>
  <c r="N224" i="11"/>
  <c r="E224" i="11"/>
  <c r="N223" i="11"/>
  <c r="E223" i="11"/>
  <c r="N222" i="11"/>
  <c r="E222" i="11"/>
  <c r="N221" i="11"/>
  <c r="E221" i="11"/>
  <c r="N220" i="11"/>
  <c r="E220" i="11"/>
  <c r="N219" i="11"/>
  <c r="E219" i="11"/>
  <c r="N218" i="11"/>
  <c r="E218" i="11"/>
  <c r="N217" i="11"/>
  <c r="E217" i="11"/>
  <c r="N216" i="11"/>
  <c r="E216" i="11"/>
  <c r="N215" i="11"/>
  <c r="E215" i="11"/>
  <c r="N214" i="11"/>
  <c r="E214" i="11"/>
  <c r="N213" i="11"/>
  <c r="E213" i="11"/>
  <c r="N212" i="11"/>
  <c r="E212" i="11"/>
  <c r="N211" i="11"/>
  <c r="E211" i="11"/>
  <c r="N210" i="11"/>
  <c r="E210" i="11"/>
  <c r="N209" i="11"/>
  <c r="E209" i="11"/>
  <c r="N208" i="11"/>
  <c r="E208" i="11"/>
  <c r="N207" i="11"/>
  <c r="E207" i="11"/>
  <c r="N206" i="11"/>
  <c r="E206" i="11"/>
  <c r="N205" i="11"/>
  <c r="E205" i="11"/>
  <c r="N204" i="11"/>
  <c r="E204" i="11"/>
  <c r="N203" i="11"/>
  <c r="E203" i="11"/>
  <c r="N202" i="11"/>
  <c r="E202" i="11"/>
  <c r="N201" i="11"/>
  <c r="E201" i="11"/>
  <c r="N200" i="11"/>
  <c r="E200" i="11"/>
  <c r="N199" i="11"/>
  <c r="E199" i="11"/>
  <c r="O270" i="11"/>
  <c r="N198" i="11"/>
  <c r="E198" i="11"/>
  <c r="N197" i="11"/>
  <c r="E197" i="11"/>
  <c r="N196" i="11"/>
  <c r="E196" i="11"/>
  <c r="N195" i="11"/>
  <c r="E195" i="11"/>
  <c r="N194" i="11"/>
  <c r="E194" i="11"/>
  <c r="N193" i="11"/>
  <c r="E193" i="11"/>
  <c r="N192" i="11"/>
  <c r="E192" i="11"/>
  <c r="N191" i="11"/>
  <c r="E191" i="11"/>
  <c r="N190" i="11"/>
  <c r="E190" i="11"/>
  <c r="N189" i="11"/>
  <c r="E189" i="11"/>
  <c r="N188" i="11"/>
  <c r="E188" i="11"/>
  <c r="N187" i="11"/>
  <c r="E187" i="11"/>
  <c r="N186" i="11"/>
  <c r="E186" i="11"/>
  <c r="N185" i="11"/>
  <c r="E185" i="11"/>
  <c r="N184" i="11"/>
  <c r="E184" i="11"/>
  <c r="N183" i="11"/>
  <c r="E183" i="11"/>
  <c r="N182" i="11"/>
  <c r="E182" i="11"/>
  <c r="N181" i="11"/>
  <c r="E181" i="11"/>
  <c r="N180" i="11"/>
  <c r="E180" i="11"/>
  <c r="N179" i="11"/>
  <c r="E179" i="11"/>
  <c r="N178" i="11"/>
  <c r="E178" i="11"/>
  <c r="N177" i="11"/>
  <c r="E177" i="11"/>
  <c r="N176" i="11"/>
  <c r="E176" i="11"/>
  <c r="N175" i="11"/>
  <c r="E175" i="11"/>
  <c r="N174" i="11"/>
  <c r="E174" i="11"/>
  <c r="N173" i="11"/>
  <c r="E173" i="11"/>
  <c r="N172" i="11"/>
  <c r="E172" i="11"/>
  <c r="N171" i="11"/>
  <c r="E171" i="11"/>
  <c r="N170" i="11"/>
  <c r="E170" i="11"/>
  <c r="N169" i="11"/>
  <c r="E169" i="11"/>
  <c r="N168" i="11"/>
  <c r="E168" i="11"/>
  <c r="N167" i="11"/>
  <c r="E167" i="11"/>
  <c r="N166" i="11"/>
  <c r="E166" i="11"/>
  <c r="N165" i="11"/>
  <c r="E165" i="11"/>
  <c r="N164" i="11"/>
  <c r="E164" i="11"/>
  <c r="N163" i="11"/>
  <c r="E163" i="11"/>
  <c r="N162" i="11"/>
  <c r="E162" i="11"/>
  <c r="N161" i="11"/>
  <c r="E161" i="11"/>
  <c r="N160" i="11"/>
  <c r="E160" i="11"/>
  <c r="N159" i="11"/>
  <c r="E159" i="11"/>
  <c r="N158" i="11"/>
  <c r="E158" i="11"/>
  <c r="N157" i="11"/>
  <c r="E157" i="11"/>
  <c r="N156" i="11"/>
  <c r="E156" i="11"/>
  <c r="N155" i="11"/>
  <c r="E155" i="11"/>
  <c r="N154" i="11"/>
  <c r="E154" i="11"/>
  <c r="N153" i="11"/>
  <c r="E153" i="11"/>
  <c r="N152" i="11"/>
  <c r="E152" i="11"/>
  <c r="N151" i="11"/>
  <c r="E151" i="11"/>
  <c r="N150" i="11"/>
  <c r="E150" i="11"/>
  <c r="N149" i="11"/>
  <c r="E149" i="11"/>
  <c r="N148" i="11"/>
  <c r="E148" i="11"/>
  <c r="N147" i="11"/>
  <c r="E147" i="11"/>
  <c r="N146" i="11"/>
  <c r="E146" i="11"/>
  <c r="N145" i="11"/>
  <c r="E145" i="11"/>
  <c r="N144" i="11"/>
  <c r="E144" i="11"/>
  <c r="N143" i="11"/>
  <c r="E143" i="11"/>
  <c r="N142" i="11"/>
  <c r="E142" i="11"/>
  <c r="N141" i="11"/>
  <c r="E141" i="11"/>
  <c r="N140" i="11"/>
  <c r="E140" i="11"/>
  <c r="N139" i="11"/>
  <c r="E139" i="11"/>
  <c r="N138" i="11"/>
  <c r="E138" i="11"/>
  <c r="N137" i="11"/>
  <c r="E137" i="11"/>
  <c r="N136" i="11"/>
  <c r="E136" i="11"/>
  <c r="N135" i="11"/>
  <c r="E135" i="11"/>
  <c r="N134" i="11"/>
  <c r="E134" i="11"/>
  <c r="N133" i="11"/>
  <c r="E133" i="11"/>
  <c r="N132" i="11"/>
  <c r="E132" i="11"/>
  <c r="N131" i="11"/>
  <c r="E131" i="11"/>
  <c r="N130" i="11"/>
  <c r="E130" i="11"/>
  <c r="N129" i="11"/>
  <c r="E129" i="11"/>
  <c r="N128" i="11"/>
  <c r="E128" i="11"/>
  <c r="N127" i="11"/>
  <c r="E127" i="11"/>
  <c r="N126" i="11"/>
  <c r="E126" i="11"/>
  <c r="N125" i="11"/>
  <c r="E125" i="11"/>
  <c r="N124" i="11"/>
  <c r="E124" i="11"/>
  <c r="N123" i="11"/>
  <c r="E123" i="11"/>
  <c r="N122" i="11"/>
  <c r="E122" i="11"/>
  <c r="N120" i="11"/>
  <c r="E120" i="11"/>
  <c r="N119" i="11"/>
  <c r="E119" i="11"/>
  <c r="N118" i="11"/>
  <c r="E118" i="11"/>
  <c r="N117" i="11"/>
  <c r="E117" i="11"/>
  <c r="N116" i="11"/>
  <c r="E116" i="11"/>
  <c r="N115" i="11"/>
  <c r="E115" i="11"/>
  <c r="N114" i="11"/>
  <c r="E114" i="11"/>
  <c r="N113" i="11"/>
  <c r="E113" i="11"/>
  <c r="N112" i="11"/>
  <c r="E112" i="11"/>
  <c r="N111" i="11"/>
  <c r="E111" i="11"/>
  <c r="N110" i="11"/>
  <c r="E110" i="11"/>
  <c r="N109" i="11"/>
  <c r="E109" i="11"/>
  <c r="N108" i="11"/>
  <c r="E108" i="11"/>
  <c r="N107" i="11"/>
  <c r="E107" i="11"/>
  <c r="N106" i="11"/>
  <c r="N105" i="11"/>
  <c r="E105" i="11"/>
  <c r="N104" i="11"/>
  <c r="E104" i="11"/>
  <c r="N103" i="11"/>
  <c r="E103" i="11"/>
  <c r="N102" i="11"/>
  <c r="E102" i="11"/>
  <c r="N101" i="11"/>
  <c r="E101" i="11"/>
  <c r="N100" i="11"/>
  <c r="E100" i="11"/>
  <c r="N99" i="11"/>
  <c r="E99" i="11"/>
  <c r="N98" i="11"/>
  <c r="E98" i="11"/>
  <c r="N97" i="11"/>
  <c r="E97" i="11"/>
  <c r="N96" i="11"/>
  <c r="E96" i="11"/>
  <c r="N95" i="11"/>
  <c r="E95" i="11"/>
  <c r="N94" i="11"/>
  <c r="E94" i="11"/>
  <c r="N93" i="11"/>
  <c r="E93" i="11"/>
  <c r="N92" i="11"/>
  <c r="E92" i="11"/>
  <c r="N91" i="11"/>
  <c r="E91" i="11"/>
  <c r="N90" i="11"/>
  <c r="E90" i="11"/>
  <c r="N89" i="11"/>
  <c r="E89" i="11"/>
  <c r="N88" i="11"/>
  <c r="E88" i="11"/>
  <c r="N87" i="11"/>
  <c r="E87" i="11"/>
  <c r="N86" i="11"/>
  <c r="E86" i="11"/>
  <c r="N85" i="11"/>
  <c r="E85" i="11"/>
  <c r="N84" i="11"/>
  <c r="E84" i="11"/>
  <c r="N83" i="11"/>
  <c r="E83" i="11"/>
  <c r="N82" i="11"/>
  <c r="E82" i="11"/>
  <c r="N81" i="11"/>
  <c r="E81" i="11"/>
  <c r="N80" i="11"/>
  <c r="E80" i="11"/>
  <c r="N79" i="11"/>
  <c r="E79" i="11"/>
  <c r="N78" i="11"/>
  <c r="E78" i="11"/>
  <c r="N77" i="11"/>
  <c r="E77" i="11"/>
  <c r="N76" i="11"/>
  <c r="E76" i="11"/>
  <c r="N75" i="11"/>
  <c r="E75" i="11"/>
  <c r="N74" i="11"/>
  <c r="E74" i="11"/>
  <c r="N73" i="11"/>
  <c r="E73" i="11"/>
  <c r="N72" i="11"/>
  <c r="E72" i="11"/>
  <c r="N71" i="11"/>
  <c r="E71" i="11"/>
  <c r="N70" i="11"/>
  <c r="E70" i="11"/>
  <c r="N69" i="11"/>
  <c r="E69" i="11"/>
  <c r="N68" i="11"/>
  <c r="E68" i="11"/>
  <c r="N67" i="11"/>
  <c r="E67" i="11"/>
  <c r="N66" i="11"/>
  <c r="E66" i="11"/>
  <c r="N65" i="11"/>
  <c r="E65" i="11"/>
  <c r="N64" i="11"/>
  <c r="N63" i="11"/>
  <c r="E63" i="11"/>
  <c r="N62" i="11"/>
  <c r="E62" i="11"/>
  <c r="N61" i="11"/>
  <c r="E61" i="11"/>
  <c r="N60" i="11"/>
  <c r="E60" i="11"/>
  <c r="N59" i="11"/>
  <c r="E59" i="11"/>
  <c r="N58" i="11"/>
  <c r="E58" i="11"/>
  <c r="N57" i="11"/>
  <c r="E57" i="11"/>
  <c r="N56" i="11"/>
  <c r="E56" i="11"/>
  <c r="N55" i="11"/>
  <c r="E55" i="11"/>
  <c r="N54" i="11"/>
  <c r="E54" i="11"/>
  <c r="N53" i="11"/>
  <c r="E53" i="11"/>
  <c r="N52" i="11"/>
  <c r="E52" i="11"/>
  <c r="N51" i="11"/>
  <c r="E51" i="11"/>
  <c r="N50" i="11"/>
  <c r="E50" i="11"/>
  <c r="N49" i="11"/>
  <c r="E49" i="11"/>
  <c r="N48" i="11"/>
  <c r="E48" i="11"/>
  <c r="N47" i="11"/>
  <c r="E47" i="11"/>
  <c r="N46" i="11"/>
  <c r="E46" i="11"/>
  <c r="N45" i="11"/>
  <c r="E45" i="11"/>
  <c r="N44" i="11"/>
  <c r="E44" i="11"/>
  <c r="N43" i="11"/>
  <c r="E43" i="11"/>
  <c r="N42" i="11"/>
  <c r="E42" i="11"/>
  <c r="N41" i="11"/>
  <c r="E41" i="11"/>
  <c r="N40" i="11"/>
  <c r="E40" i="11"/>
  <c r="N39" i="11"/>
  <c r="E39" i="11"/>
  <c r="N38" i="11"/>
  <c r="E38" i="11"/>
  <c r="N37" i="11"/>
  <c r="E37" i="11"/>
  <c r="N36" i="11"/>
  <c r="E36" i="11"/>
  <c r="N35" i="11"/>
  <c r="E35" i="11"/>
  <c r="N34" i="11"/>
  <c r="E34" i="11"/>
  <c r="N33" i="11"/>
  <c r="E33" i="11"/>
  <c r="N32" i="11"/>
  <c r="E32" i="11"/>
  <c r="N31" i="11"/>
  <c r="E31" i="11"/>
  <c r="N30" i="11"/>
  <c r="E30" i="11"/>
  <c r="N29" i="11"/>
  <c r="E29" i="11"/>
  <c r="N28" i="11"/>
  <c r="E28" i="11"/>
  <c r="N27" i="11"/>
  <c r="E27" i="11"/>
  <c r="N26" i="11"/>
  <c r="E26" i="11"/>
  <c r="N25" i="11"/>
  <c r="E25" i="11"/>
  <c r="N24" i="11"/>
  <c r="E24" i="11"/>
  <c r="N23" i="11"/>
  <c r="E23" i="11"/>
  <c r="N22" i="11"/>
  <c r="E22" i="11"/>
  <c r="N21" i="11"/>
  <c r="E21" i="11"/>
  <c r="N20" i="11"/>
  <c r="E20" i="11"/>
  <c r="N19" i="11"/>
  <c r="E19" i="11"/>
  <c r="N18" i="11"/>
  <c r="E18" i="11"/>
  <c r="N17" i="11"/>
  <c r="E17" i="11"/>
  <c r="N16" i="11"/>
  <c r="E16" i="11"/>
  <c r="N15" i="11"/>
  <c r="E15" i="11"/>
  <c r="N14" i="11"/>
  <c r="E14" i="11"/>
  <c r="N13" i="11"/>
  <c r="E13" i="11"/>
  <c r="N12" i="11"/>
  <c r="E12" i="11"/>
  <c r="N11" i="11"/>
  <c r="E11" i="11"/>
  <c r="N10" i="11"/>
  <c r="E10" i="11"/>
  <c r="N9" i="11"/>
  <c r="E9" i="11"/>
  <c r="N8" i="11"/>
  <c r="E8" i="11"/>
  <c r="N7" i="11"/>
  <c r="E7" i="11"/>
  <c r="N6" i="11"/>
  <c r="E6" i="11"/>
  <c r="N5" i="11"/>
  <c r="E5" i="11"/>
  <c r="N4" i="11"/>
  <c r="E4" i="11"/>
  <c r="N3" i="11"/>
  <c r="E3" i="11"/>
  <c r="N2" i="11"/>
  <c r="E2" i="11"/>
  <c r="E270" i="11"/>
  <c r="G272" i="11"/>
  <c r="G273" i="11"/>
  <c r="R106" i="11"/>
  <c r="O200" i="1"/>
  <c r="E272" i="1"/>
  <c r="N272" i="1"/>
  <c r="E273" i="1"/>
  <c r="N273" i="1"/>
  <c r="E274" i="1"/>
  <c r="N274" i="1"/>
  <c r="D173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5" i="7"/>
  <c r="D56" i="7"/>
  <c r="D57" i="7"/>
  <c r="D58" i="7"/>
  <c r="D59" i="7"/>
  <c r="D60" i="7"/>
  <c r="D61" i="7"/>
  <c r="D62" i="7"/>
  <c r="D63" i="7"/>
  <c r="D64" i="7"/>
  <c r="D65" i="7"/>
  <c r="D66" i="7"/>
  <c r="D67" i="7"/>
  <c r="D68" i="7"/>
  <c r="D69" i="7"/>
  <c r="D70" i="7"/>
  <c r="D71" i="7"/>
  <c r="D72" i="7"/>
  <c r="D73" i="7"/>
  <c r="D74" i="7"/>
  <c r="D75" i="7"/>
  <c r="D76" i="7"/>
  <c r="D77" i="7"/>
  <c r="D78" i="7"/>
  <c r="D79" i="7"/>
  <c r="D80" i="7"/>
  <c r="D81" i="7"/>
  <c r="D82" i="7"/>
  <c r="D83" i="7"/>
  <c r="D84" i="7"/>
  <c r="D85" i="7"/>
  <c r="D86" i="7"/>
  <c r="D87" i="7"/>
  <c r="D88" i="7"/>
  <c r="D89" i="7"/>
  <c r="D90" i="7"/>
  <c r="D91" i="7"/>
  <c r="D92" i="7"/>
  <c r="D93" i="7"/>
  <c r="D94" i="7"/>
  <c r="D95" i="7"/>
  <c r="D96" i="7"/>
  <c r="D97" i="7"/>
  <c r="D98" i="7"/>
  <c r="D99" i="7"/>
  <c r="D100" i="7"/>
  <c r="D101" i="7"/>
  <c r="D102" i="7"/>
  <c r="D103" i="7"/>
  <c r="D104" i="7"/>
  <c r="D105" i="7"/>
  <c r="D106" i="7"/>
  <c r="D107" i="7"/>
  <c r="D108" i="7"/>
  <c r="D109" i="7"/>
  <c r="D110" i="7"/>
  <c r="D111" i="7"/>
  <c r="D112" i="7"/>
  <c r="D113" i="7"/>
  <c r="D114" i="7"/>
  <c r="D115" i="7"/>
  <c r="D116" i="7"/>
  <c r="D117" i="7"/>
  <c r="D118" i="7"/>
  <c r="D119" i="7"/>
  <c r="D120" i="7"/>
  <c r="D121" i="7"/>
  <c r="D122" i="7"/>
  <c r="D123" i="7"/>
  <c r="D124" i="7"/>
  <c r="D125" i="7"/>
  <c r="D126" i="7"/>
  <c r="D127" i="7"/>
  <c r="D128" i="7"/>
  <c r="D129" i="7"/>
  <c r="D130" i="7"/>
  <c r="D131" i="7"/>
  <c r="D132" i="7"/>
  <c r="D133" i="7"/>
  <c r="D134" i="7"/>
  <c r="D135" i="7"/>
  <c r="D136" i="7"/>
  <c r="D137" i="7"/>
  <c r="D138" i="7"/>
  <c r="D139" i="7"/>
  <c r="D140" i="7"/>
  <c r="D141" i="7"/>
  <c r="D142" i="7"/>
  <c r="D143" i="7"/>
  <c r="D144" i="7"/>
  <c r="D145" i="7"/>
  <c r="D146" i="7"/>
  <c r="D147" i="7"/>
  <c r="D148" i="7"/>
  <c r="D149" i="7"/>
  <c r="D150" i="7"/>
  <c r="D151" i="7"/>
  <c r="D152" i="7"/>
  <c r="D153" i="7"/>
  <c r="D154" i="7"/>
  <c r="D155" i="7"/>
  <c r="D156" i="7"/>
  <c r="D157" i="7"/>
  <c r="D158" i="7"/>
  <c r="D159" i="7"/>
  <c r="D160" i="7"/>
  <c r="D161" i="7"/>
  <c r="D162" i="7"/>
  <c r="D163" i="7"/>
  <c r="D164" i="7"/>
  <c r="D165" i="7"/>
  <c r="D166" i="7"/>
  <c r="D167" i="7"/>
  <c r="D168" i="7"/>
  <c r="D169" i="7"/>
  <c r="D170" i="7"/>
  <c r="D171" i="7"/>
  <c r="D172" i="7"/>
  <c r="D5" i="7"/>
  <c r="C9" i="6"/>
  <c r="C10" i="6"/>
  <c r="C115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E104" i="1"/>
  <c r="I114" i="6"/>
  <c r="N106" i="1"/>
  <c r="D174" i="7"/>
  <c r="C116" i="6"/>
  <c r="I113" i="6"/>
  <c r="J112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71" i="6"/>
  <c r="I72" i="6"/>
  <c r="I73" i="6"/>
  <c r="I74" i="6"/>
  <c r="I75" i="6"/>
  <c r="I76" i="6"/>
  <c r="I77" i="6"/>
  <c r="I78" i="6"/>
  <c r="I79" i="6"/>
  <c r="I80" i="6"/>
  <c r="I81" i="6"/>
  <c r="I82" i="6"/>
  <c r="I83" i="6"/>
  <c r="I84" i="6"/>
  <c r="I85" i="6"/>
  <c r="I86" i="6"/>
  <c r="I87" i="6"/>
  <c r="I88" i="6"/>
  <c r="I89" i="6"/>
  <c r="I90" i="6"/>
  <c r="I91" i="6"/>
  <c r="I92" i="6"/>
  <c r="I93" i="6"/>
  <c r="I94" i="6"/>
  <c r="I95" i="6"/>
  <c r="I96" i="6"/>
  <c r="I97" i="6"/>
  <c r="I98" i="6"/>
  <c r="I99" i="6"/>
  <c r="I100" i="6"/>
  <c r="I101" i="6"/>
  <c r="I102" i="6"/>
  <c r="I103" i="6"/>
  <c r="I104" i="6"/>
  <c r="I105" i="6"/>
  <c r="I106" i="6"/>
  <c r="I107" i="6"/>
  <c r="I108" i="6"/>
  <c r="I109" i="6"/>
  <c r="I110" i="6"/>
  <c r="I111" i="6"/>
  <c r="E227" i="1"/>
  <c r="E228" i="1"/>
  <c r="E229" i="1"/>
  <c r="E230" i="1"/>
  <c r="E231" i="1"/>
  <c r="E232" i="1"/>
  <c r="E233" i="1"/>
  <c r="E234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5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4" i="1"/>
  <c r="E225" i="1"/>
  <c r="E226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P259" i="1" s="1"/>
  <c r="E260" i="1"/>
  <c r="E261" i="1"/>
  <c r="E262" i="1"/>
  <c r="E263" i="1"/>
  <c r="E264" i="1"/>
  <c r="E265" i="1"/>
  <c r="E266" i="1"/>
  <c r="E267" i="1"/>
  <c r="E268" i="1"/>
  <c r="E269" i="1"/>
  <c r="E271" i="1"/>
  <c r="E2" i="1"/>
  <c r="E279" i="1" s="1"/>
  <c r="N105" i="1"/>
  <c r="D26" i="9"/>
  <c r="F24" i="9"/>
  <c r="H24" i="9"/>
  <c r="E24" i="9"/>
  <c r="G24" i="9"/>
  <c r="B24" i="9"/>
  <c r="F23" i="9"/>
  <c r="H23" i="9"/>
  <c r="E23" i="9"/>
  <c r="G23" i="9"/>
  <c r="I23" i="9"/>
  <c r="B23" i="9"/>
  <c r="F22" i="9"/>
  <c r="H22" i="9"/>
  <c r="E22" i="9"/>
  <c r="G22" i="9"/>
  <c r="B22" i="9"/>
  <c r="F21" i="9"/>
  <c r="H21" i="9"/>
  <c r="E21" i="9"/>
  <c r="G21" i="9"/>
  <c r="I21" i="9"/>
  <c r="B21" i="9"/>
  <c r="F20" i="9"/>
  <c r="H20" i="9"/>
  <c r="E20" i="9"/>
  <c r="G20" i="9"/>
  <c r="B20" i="9"/>
  <c r="F19" i="9"/>
  <c r="H19" i="9"/>
  <c r="E19" i="9"/>
  <c r="G19" i="9"/>
  <c r="I19" i="9"/>
  <c r="B19" i="9"/>
  <c r="F18" i="9"/>
  <c r="H18" i="9"/>
  <c r="E18" i="9"/>
  <c r="G18" i="9"/>
  <c r="B18" i="9"/>
  <c r="F17" i="9"/>
  <c r="H17" i="9"/>
  <c r="E17" i="9"/>
  <c r="G17" i="9"/>
  <c r="I17" i="9"/>
  <c r="B17" i="9"/>
  <c r="F16" i="9"/>
  <c r="H16" i="9"/>
  <c r="E16" i="9"/>
  <c r="G16" i="9"/>
  <c r="B16" i="9"/>
  <c r="F15" i="9"/>
  <c r="H15" i="9"/>
  <c r="E15" i="9"/>
  <c r="G15" i="9"/>
  <c r="I15" i="9"/>
  <c r="B15" i="9"/>
  <c r="F14" i="9"/>
  <c r="H14" i="9"/>
  <c r="E14" i="9"/>
  <c r="G14" i="9"/>
  <c r="B14" i="9"/>
  <c r="F13" i="9"/>
  <c r="H13" i="9"/>
  <c r="E13" i="9"/>
  <c r="G13" i="9"/>
  <c r="I13" i="9"/>
  <c r="B13" i="9"/>
  <c r="F12" i="9"/>
  <c r="H12" i="9"/>
  <c r="E12" i="9"/>
  <c r="G12" i="9"/>
  <c r="B12" i="9"/>
  <c r="F11" i="9"/>
  <c r="H11" i="9"/>
  <c r="E11" i="9"/>
  <c r="G11" i="9"/>
  <c r="I11" i="9"/>
  <c r="B11" i="9"/>
  <c r="F10" i="9"/>
  <c r="H10" i="9"/>
  <c r="E10" i="9"/>
  <c r="G10" i="9"/>
  <c r="B10" i="9"/>
  <c r="F9" i="9"/>
  <c r="H9" i="9"/>
  <c r="E9" i="9"/>
  <c r="E26" i="9"/>
  <c r="G26" i="9"/>
  <c r="B9" i="9"/>
  <c r="B26" i="9"/>
  <c r="C26" i="9"/>
  <c r="H174" i="7"/>
  <c r="G116" i="6"/>
  <c r="G174" i="7"/>
  <c r="F116" i="6"/>
  <c r="F174" i="7"/>
  <c r="E116" i="6"/>
  <c r="E174" i="7"/>
  <c r="D116" i="6"/>
  <c r="G115" i="6"/>
  <c r="G117" i="6"/>
  <c r="F115" i="6"/>
  <c r="F117" i="6"/>
  <c r="E115" i="6"/>
  <c r="E117" i="6"/>
  <c r="D115" i="6"/>
  <c r="C117" i="6"/>
  <c r="D117" i="6"/>
  <c r="E118" i="6"/>
  <c r="I10" i="9"/>
  <c r="I12" i="9"/>
  <c r="I14" i="9"/>
  <c r="I16" i="9"/>
  <c r="I18" i="9"/>
  <c r="I22" i="9"/>
  <c r="I24" i="9"/>
  <c r="G9" i="9"/>
  <c r="I9" i="9"/>
  <c r="I26" i="9"/>
  <c r="F26" i="9"/>
  <c r="H26" i="9"/>
  <c r="U57" i="5"/>
  <c r="T57" i="5"/>
  <c r="U56" i="5"/>
  <c r="T56" i="5"/>
  <c r="U55" i="5"/>
  <c r="T55" i="5"/>
  <c r="U54" i="5"/>
  <c r="T54" i="5"/>
  <c r="U53" i="5"/>
  <c r="T53" i="5"/>
  <c r="U52" i="5"/>
  <c r="T52" i="5"/>
  <c r="U51" i="5"/>
  <c r="T51" i="5"/>
  <c r="U50" i="5"/>
  <c r="T50" i="5"/>
  <c r="U49" i="5"/>
  <c r="T49" i="5"/>
  <c r="U48" i="5"/>
  <c r="T48" i="5"/>
  <c r="U47" i="5"/>
  <c r="T47" i="5"/>
  <c r="U46" i="5"/>
  <c r="T46" i="5"/>
  <c r="U45" i="5"/>
  <c r="T45" i="5"/>
  <c r="U44" i="5"/>
  <c r="T44" i="5"/>
  <c r="U43" i="5"/>
  <c r="T43" i="5"/>
  <c r="U42" i="5"/>
  <c r="T42" i="5"/>
  <c r="U41" i="5"/>
  <c r="T41" i="5"/>
  <c r="U40" i="5"/>
  <c r="T40" i="5"/>
  <c r="U39" i="5"/>
  <c r="T39" i="5"/>
  <c r="U38" i="5"/>
  <c r="T38" i="5"/>
  <c r="U37" i="5"/>
  <c r="T37" i="5"/>
  <c r="U36" i="5"/>
  <c r="T36" i="5"/>
  <c r="U35" i="5"/>
  <c r="T35" i="5"/>
  <c r="U34" i="5"/>
  <c r="T34" i="5"/>
  <c r="U33" i="5"/>
  <c r="T33" i="5"/>
  <c r="U32" i="5"/>
  <c r="T32" i="5"/>
  <c r="U31" i="5"/>
  <c r="T31" i="5"/>
  <c r="U30" i="5"/>
  <c r="T30" i="5"/>
  <c r="U29" i="5"/>
  <c r="T29" i="5"/>
  <c r="U28" i="5"/>
  <c r="T28" i="5"/>
  <c r="U27" i="5"/>
  <c r="T27" i="5"/>
  <c r="U26" i="5"/>
  <c r="T26" i="5"/>
  <c r="U25" i="5"/>
  <c r="T25" i="5"/>
  <c r="U24" i="5"/>
  <c r="T24" i="5"/>
  <c r="U23" i="5"/>
  <c r="T23" i="5"/>
  <c r="U22" i="5"/>
  <c r="T22" i="5"/>
  <c r="U21" i="5"/>
  <c r="T21" i="5"/>
  <c r="U20" i="5"/>
  <c r="T20" i="5"/>
  <c r="U19" i="5"/>
  <c r="T19" i="5"/>
  <c r="U18" i="5"/>
  <c r="T18" i="5"/>
  <c r="U17" i="5"/>
  <c r="T17" i="5"/>
  <c r="U16" i="5"/>
  <c r="T16" i="5"/>
  <c r="U15" i="5"/>
  <c r="T15" i="5"/>
  <c r="U14" i="5"/>
  <c r="T14" i="5"/>
  <c r="U13" i="5"/>
  <c r="T13" i="5"/>
  <c r="U12" i="5"/>
  <c r="T12" i="5"/>
  <c r="U11" i="5"/>
  <c r="T11" i="5"/>
  <c r="U10" i="5"/>
  <c r="T10" i="5"/>
  <c r="U9" i="5"/>
  <c r="T9" i="5"/>
  <c r="S8" i="5"/>
  <c r="R8" i="5"/>
  <c r="O279" i="1"/>
  <c r="N191" i="1"/>
  <c r="N2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1" i="1"/>
  <c r="B22" i="4"/>
  <c r="L53" i="15" l="1"/>
  <c r="R106" i="1"/>
  <c r="S223" i="1"/>
  <c r="N279" i="1"/>
  <c r="G280" i="1"/>
  <c r="G281" i="1" s="1"/>
  <c r="F280" i="1"/>
  <c r="E280" i="1" s="1"/>
  <c r="D281" i="1" s="1"/>
  <c r="L54" i="15"/>
  <c r="L71" i="1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284" authorId="0" shapeId="0" xr:uid="{9FAAC36F-A187-4906-825E-3C1A225DE89C}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<sst xmlns="http://schemas.openxmlformats.org/spreadsheetml/2006/main" count="6133" uniqueCount="845">
  <si>
    <t>№ п/п</t>
  </si>
  <si>
    <t>Идентификационный номер</t>
  </si>
  <si>
    <t>Наименование автодороги</t>
  </si>
  <si>
    <t>Протяженность(км)</t>
  </si>
  <si>
    <t>29 232 ОП МР-001</t>
  </si>
  <si>
    <t>«Калуга-Тула» -д. Н. Косьмово</t>
  </si>
  <si>
    <t>29 232 ОП МР-002</t>
  </si>
  <si>
    <t>д. Н. Косьмово – д. В. Косьмово</t>
  </si>
  <si>
    <t>29 232 ОП МР-003</t>
  </si>
  <si>
    <t>д.Никольское – д. Пушкино</t>
  </si>
  <si>
    <t>29 232 ОП МР-004</t>
  </si>
  <si>
    <t>«Калуга _Тула» - д.Николаевка</t>
  </si>
  <si>
    <t>29 232 ОП МР-005</t>
  </si>
  <si>
    <t>с.Борищево – д. Садки</t>
  </si>
  <si>
    <t>29 232 ОП МР-006</t>
  </si>
  <si>
    <t>29 232 ОП МР-007</t>
  </si>
  <si>
    <t>д. Ладыгино – д. Ершовка</t>
  </si>
  <si>
    <t>29 232 ОП МР-008</t>
  </si>
  <si>
    <t>«с. Перемышль - д. Погореловка» – д. Дементеевка</t>
  </si>
  <si>
    <t>29 232 ОП МР-009</t>
  </si>
  <si>
    <t>д. Ладыгино – д. Кульнево</t>
  </si>
  <si>
    <t>29 232 ОП МР-010</t>
  </si>
  <si>
    <t>д. Кульнево – д. Дементеевка</t>
  </si>
  <si>
    <t>29 232 ОП МР-011</t>
  </si>
  <si>
    <t>«п. Воротынск –с. Перемышль» - д. Ладыгино</t>
  </si>
  <si>
    <t>29 232 ОП МР-012</t>
  </si>
  <si>
    <t>"Калуга – Козельск" – д.Воробьевка</t>
  </si>
  <si>
    <t>29 232 ОП МР-013</t>
  </si>
  <si>
    <t>д. Ждановка – д.Петровское</t>
  </si>
  <si>
    <t>29 232 ОП МР-014</t>
  </si>
  <si>
    <t>д.Петровское – д. Синятино</t>
  </si>
  <si>
    <t>29 232 ОП МР-015</t>
  </si>
  <si>
    <t>д.Синятино – д.Погореловка</t>
  </si>
  <si>
    <t>29 232 ОП МР-016</t>
  </si>
  <si>
    <t>д.Погореловка –д. Колышово</t>
  </si>
  <si>
    <t>29 232 ОП МР-017</t>
  </si>
  <si>
    <t>«с. Перемышль – д. Погореловка» - д.Жашково</t>
  </si>
  <si>
    <t>29 232 ОП МР-018</t>
  </si>
  <si>
    <t>«Калуга – Козельск» - д.Кожемякино</t>
  </si>
  <si>
    <t>29 232 ОП МР-019</t>
  </si>
  <si>
    <t>д. Михайловское – д. Афанасьево</t>
  </si>
  <si>
    <t>29 232 ОП МР-020</t>
  </si>
  <si>
    <t>д. Афанасьево – д.Григорово</t>
  </si>
  <si>
    <t>29 232 ОП МР-021</t>
  </si>
  <si>
    <t>д.Н. Алопово – д.Щепихино</t>
  </si>
  <si>
    <t>29 232 ОП МР-022</t>
  </si>
  <si>
    <t>д. Гордиково – д. Юпинка</t>
  </si>
  <si>
    <t>29 232 ОП МР-023</t>
  </si>
  <si>
    <t>д. Кудиново- д. Букреево</t>
  </si>
  <si>
    <t>29 232 ОП МР-024</t>
  </si>
  <si>
    <t>«д. Ильинское – д. В. Вялицы» - д. Ермашовка</t>
  </si>
  <si>
    <t>29 232 ОП МР-025</t>
  </si>
  <si>
    <t>д. В.Вялицы – д. Н. Вялицы</t>
  </si>
  <si>
    <t>29 232 ОП МР-026</t>
  </si>
  <si>
    <t>д. Н.Вялицы- д. Ястребово</t>
  </si>
  <si>
    <t>29 232 ОП МР-027</t>
  </si>
  <si>
    <t>«с. Ильинское – д.В. Вялицы» - д. Кудиново</t>
  </si>
  <si>
    <t>29 232 ОП МР-028</t>
  </si>
  <si>
    <t>д. Сильково- д. Татьево</t>
  </si>
  <si>
    <t>29 232 ОП МР-029</t>
  </si>
  <si>
    <t>д. Сильково – д. Грицкое</t>
  </si>
  <si>
    <t>29 232 ОП МР-030</t>
  </si>
  <si>
    <t>д. Новоселки – д. Головнино</t>
  </si>
  <si>
    <t>29 232 ОП МР-031</t>
  </si>
  <si>
    <t>«Москва – Киев - Перемышль» - д. Н. Подгоричи</t>
  </si>
  <si>
    <t>29 232 ОП МР-032</t>
  </si>
  <si>
    <t>д.Заборовка – д. Лучкино</t>
  </si>
  <si>
    <t>29 232 ОП МР-033</t>
  </si>
  <si>
    <t>29 232 ОП МР-034</t>
  </si>
  <si>
    <t>«Москва – Киев - Перемышль» - д. Заболотье</t>
  </si>
  <si>
    <t>29 232 ОП МР-035</t>
  </si>
  <si>
    <t>29 232 ОП МР-036</t>
  </si>
  <si>
    <t>д.Столпово – д. Слевидово</t>
  </si>
  <si>
    <t>29 232 ОП МР-037</t>
  </si>
  <si>
    <t>д.Корекозево – д.Киреево</t>
  </si>
  <si>
    <t>29 232 ОП МР-038</t>
  </si>
  <si>
    <t>д.Елизаветинка – д.Б. Сушки</t>
  </si>
  <si>
    <t>29 232 ОП МР-039</t>
  </si>
  <si>
    <t>«Калуга - Козельск» - д. Б. Сушки</t>
  </si>
  <si>
    <t>29 232 ОП МР-040</t>
  </si>
  <si>
    <t>29 232 ОП МР-041</t>
  </si>
  <si>
    <t>«Калуга -Козельск» - Пионер лагеря</t>
  </si>
  <si>
    <t>29 232 ОП МР-042</t>
  </si>
  <si>
    <t>"д. Голодское – Суворов - Одоев» -д. Григоровское"- д. Голчань</t>
  </si>
  <si>
    <t>29 232 ОП МР-043</t>
  </si>
  <si>
    <t>д. Вольня – д. Голчань</t>
  </si>
  <si>
    <t>29 232 ОП МР-044</t>
  </si>
  <si>
    <t>«д.Голодское – Суворов - Одоев» - д. Мехово</t>
  </si>
  <si>
    <t>29 232 ОП МР-045</t>
  </si>
  <si>
    <t>«д.Голодское – Суворов - Одоев» - д. Раздол</t>
  </si>
  <si>
    <t>29 232 ОП МР-046</t>
  </si>
  <si>
    <t>«д.Голодское – Суворов - Одоев» - д.Зимницы</t>
  </si>
  <si>
    <t>29 232 ОП МР-047</t>
  </si>
  <si>
    <t>д. Григоровское – д. Белая</t>
  </si>
  <si>
    <t>29 232 ОП МР-048</t>
  </si>
  <si>
    <t>д. Игнатовское – д. Григоровское</t>
  </si>
  <si>
    <t>29 232 ОП МР-049</t>
  </si>
  <si>
    <t>д. Григоровское – д. Салтановское</t>
  </si>
  <si>
    <t>29 232 ОП МР-050</t>
  </si>
  <si>
    <t>д. Малютино – д. Чесноки</t>
  </si>
  <si>
    <t>29 232 ОП МР-051</t>
  </si>
  <si>
    <t>д. Чесноки – д. Зеленино</t>
  </si>
  <si>
    <t>29 232 ОП МР-052</t>
  </si>
  <si>
    <t>д.Зеленино – д. Алексеевское</t>
  </si>
  <si>
    <t>29 232 ОП МР-053</t>
  </si>
  <si>
    <t>д.Малютино – д. Кириловское</t>
  </si>
  <si>
    <t>29 232 ОП МР-054</t>
  </si>
  <si>
    <t>д. Кириловское – д.Никитинка</t>
  </si>
  <si>
    <t>29 232 ОП МР-055</t>
  </si>
  <si>
    <t>д. Никитинка – д. Митинка</t>
  </si>
  <si>
    <t>29 232 ОП МР-056</t>
  </si>
  <si>
    <t>д. Григоровское – д. Константиновка</t>
  </si>
  <si>
    <t>29 232 ОП МР-057</t>
  </si>
  <si>
    <t>д. Акиньшино – д. Нелюбовское</t>
  </si>
  <si>
    <t>29 232 ОП МР-058</t>
  </si>
  <si>
    <t>29 232 ОП МР-059</t>
  </si>
  <si>
    <t>д. Константиновка – д. Крутые Верхи (карьер)</t>
  </si>
  <si>
    <t>29 232 ОП МР-060</t>
  </si>
  <si>
    <t>д. Большие Козлы – д. Еловка</t>
  </si>
  <si>
    <t>29 232 ОП МР-061</t>
  </si>
  <si>
    <t>д. Морозовы дворы– д. Крутые Верхи</t>
  </si>
  <si>
    <t>29 232 ОП МР-062</t>
  </si>
  <si>
    <t>д. Морозовы Дворы – д. Ильинка</t>
  </si>
  <si>
    <t>29 232 ОП МР-063</t>
  </si>
  <si>
    <t>д. Хотисино – д. Холмы</t>
  </si>
  <si>
    <t>29 232 ОП МР-064</t>
  </si>
  <si>
    <t>д. Холмы – д. Антиповка</t>
  </si>
  <si>
    <t>29 232 ОП МР-065</t>
  </si>
  <si>
    <t>д. Подкорье - д. Петропавлово</t>
  </si>
  <si>
    <t>29 232 ОП МР-066</t>
  </si>
  <si>
    <t>д. Рождественно - д. Петропавлово</t>
  </si>
  <si>
    <t>29 232 ОП МР-067</t>
  </si>
  <si>
    <t>д. Петропавлово – д. Морхань</t>
  </si>
  <si>
    <t>29 232 ОП МР-068</t>
  </si>
  <si>
    <t>д. Хотисино – д. Рождественно</t>
  </si>
  <si>
    <t>29 232 ОП МР-069</t>
  </si>
  <si>
    <t>«Калуга - Тула» - д. Ломохино</t>
  </si>
  <si>
    <t>29 232 ОП МР-070</t>
  </si>
  <si>
    <t>д. Ломохино - д. Боково</t>
  </si>
  <si>
    <t>29 232 ОП МР-071</t>
  </si>
  <si>
    <t>д. Усадье – д. Фитинино</t>
  </si>
  <si>
    <t>29 232 ОП МР-072</t>
  </si>
  <si>
    <t>«Калуга – Тула» - д. Фитинино</t>
  </si>
  <si>
    <t>29 232 ОП МР-073</t>
  </si>
  <si>
    <t>д. Фитинино – д. Гриднево</t>
  </si>
  <si>
    <t>29 232 ОП МР-074</t>
  </si>
  <si>
    <t>а/дорога «Калуга – Тула» - д. Семеновка</t>
  </si>
  <si>
    <t>29 232 ОП МР-075</t>
  </si>
  <si>
    <t>д. Семеновка – д. Пески</t>
  </si>
  <si>
    <t>29 232 ОП МР-076</t>
  </si>
  <si>
    <t>«Калуга - Тула» - д. Борисовка</t>
  </si>
  <si>
    <t>29 232 ОП МР-077</t>
  </si>
  <si>
    <t>«Калуга - Тула» - д. Курово</t>
  </si>
  <si>
    <t>29 232 ОП МР-078</t>
  </si>
  <si>
    <t>1Р132 «Калуга – Тула – Михайлов – Рязань» – д. Песочня – д. Кременево</t>
  </si>
  <si>
    <t>29 232 ОП МР-079</t>
  </si>
  <si>
    <t>«д. Песочня – д. Кременево» - д. Никитье</t>
  </si>
  <si>
    <t>29 232 ОП МР-080</t>
  </si>
  <si>
    <t>«д. Песочня – д. Кременево» - д. Самойлово</t>
  </si>
  <si>
    <t>29 232 ОП МР-081</t>
  </si>
  <si>
    <t>д. Кременево – д. Зябки</t>
  </si>
  <si>
    <t>29 232 ОП МР-082</t>
  </si>
  <si>
    <t>д. Зябки – д. Алексеевка</t>
  </si>
  <si>
    <t>29 232 ОП МР-083</t>
  </si>
  <si>
    <t>«Калуга - Тула» - д. Брагино</t>
  </si>
  <si>
    <t>29 232 ОП МР-084</t>
  </si>
  <si>
    <t>«Калуга - Тула - д. Брагино» - д. Зенилово</t>
  </si>
  <si>
    <t>29 232 ОП МР-085</t>
  </si>
  <si>
    <t>«Калуга - Тула» - д. Басово</t>
  </si>
  <si>
    <t>29 232 ОП МР-086</t>
  </si>
  <si>
    <t>«Калуга - Тула» - д. Забелино</t>
  </si>
  <si>
    <t>29 232 ОП МР-087</t>
  </si>
  <si>
    <t>«Калуга - Тула» – д. Темерево</t>
  </si>
  <si>
    <t>29 232 ОП МР-088</t>
  </si>
  <si>
    <t>«Калуга – Тула – д. Брагино» – д. Карауловка</t>
  </si>
  <si>
    <t>29 232 ОП МР-089</t>
  </si>
  <si>
    <t>«Калуга - Тула» - д. Брагино – д. Оберегаевка</t>
  </si>
  <si>
    <t>29 232 ОП МР-090</t>
  </si>
  <si>
    <t>д. Макарово – д. Гулево</t>
  </si>
  <si>
    <t>29 232 ОП МР-091</t>
  </si>
  <si>
    <t>д. Муратовка – д. Шильниково</t>
  </si>
  <si>
    <t>29 232 ОП МР-092</t>
  </si>
  <si>
    <t>д. Гулево – д. Шильниково</t>
  </si>
  <si>
    <t>29 232 ОП МР-093</t>
  </si>
  <si>
    <t>д. Шильниково – д. Истомино</t>
  </si>
  <si>
    <t>29 232 ОП МР-094</t>
  </si>
  <si>
    <t>д. Истомино – д. Новоселки</t>
  </si>
  <si>
    <t>29 232 ОП МР-095</t>
  </si>
  <si>
    <t>д. Истомино – д. Никольское</t>
  </si>
  <si>
    <t>29 232 ОП МР-096</t>
  </si>
  <si>
    <t>1Р132 «Калуга – Тула – Михайлов – Рязань» – д. Будаково</t>
  </si>
  <si>
    <t>29 232 ОП МР-097</t>
  </si>
  <si>
    <t>«Калуга - Тула» -д.Крутицы</t>
  </si>
  <si>
    <t>29 232 ОП МР-098</t>
  </si>
  <si>
    <t>д. Салтановское - д. Красниково</t>
  </si>
  <si>
    <t>29 232 ОП МР-099</t>
  </si>
  <si>
    <t>Карьер - д. Крутые Верхи</t>
  </si>
  <si>
    <t>29 232 ОП МР-100</t>
  </si>
  <si>
    <t>1Р132 «Калуга – Тула – Михайлов – Рязань» – д. Пушкино</t>
  </si>
  <si>
    <t>29 232 ОП МР-101</t>
  </si>
  <si>
    <t>д. Крутые Верхи – д. Никитинка</t>
  </si>
  <si>
    <t>29 232 ОП МР-102</t>
  </si>
  <si>
    <t>Д.Песочня-д.Курово</t>
  </si>
  <si>
    <t>29 232 ОП МР-103</t>
  </si>
  <si>
    <t>д. Погореловка – с.Пятницкое</t>
  </si>
  <si>
    <t>29 232 864 ОП МП-001</t>
  </si>
  <si>
    <t>«автодорога по деревне Сильково»</t>
  </si>
  <si>
    <t>29 232 864 ОП МП-002</t>
  </si>
  <si>
    <t>«автодорога по деревне Головнино»</t>
  </si>
  <si>
    <t>29 232 864 ОП МП-003</t>
  </si>
  <si>
    <t>«автодорога по деревне Желохово»</t>
  </si>
  <si>
    <t>29 232 864 ОП МП-004</t>
  </si>
  <si>
    <t>«автодорога по деревне Торопово»</t>
  </si>
  <si>
    <t>29 232 864ОП МП-005</t>
  </si>
  <si>
    <t>«автодорога по деревне Нижние Подгоричи»</t>
  </si>
  <si>
    <t>29 232 864ОП МП-006</t>
  </si>
  <si>
    <t>«автодорога по деревне Верхние Подгоричи»</t>
  </si>
  <si>
    <t>29 232 864ОП МП-007</t>
  </si>
  <si>
    <t>«автодорога по деревне Грицкое»</t>
  </si>
  <si>
    <t>29 232 864ОП МП-008</t>
  </si>
  <si>
    <t>«автодорога по деревне Татьево»</t>
  </si>
  <si>
    <t>29 232 864ОП МП-009</t>
  </si>
  <si>
    <t>«автодорога по деревне Новоселки»</t>
  </si>
  <si>
    <t>29 232 864ОП МП-010</t>
  </si>
  <si>
    <t>«автодорога по деревне Дудоровка</t>
  </si>
  <si>
    <t>29 232 808 ОП МП-001</t>
  </si>
  <si>
    <t>«автодорога по с.Борищево»</t>
  </si>
  <si>
    <t>29 232 808 ОП МП-002</t>
  </si>
  <si>
    <t>«автодорога по д.Садки»</t>
  </si>
  <si>
    <t>29 232 808 ОП МП-003</t>
  </si>
  <si>
    <t>«автодорога по д.Орля»</t>
  </si>
  <si>
    <t>29 232 848 ОП МП-001</t>
  </si>
  <si>
    <t>«автодорога по д.Вечна»</t>
  </si>
  <si>
    <t>29 232 848 ОП МП-002</t>
  </si>
  <si>
    <t>«автодорога по д.Григоровское»</t>
  </si>
  <si>
    <t>29 232 848 ОП МП-003</t>
  </si>
  <si>
    <t>«автодорога по д.Белая»</t>
  </si>
  <si>
    <t>29 232 848 ОП МП-004</t>
  </si>
  <si>
    <t>«автодорога по д.Константиновка»</t>
  </si>
  <si>
    <t>29 232 848 ОП МП-005</t>
  </si>
  <si>
    <t>«автодорога по д.Малютино»</t>
  </si>
  <si>
    <t>29 232 848 ОП МП-006</t>
  </si>
  <si>
    <t>«автодорога по д.Кириловское»</t>
  </si>
  <si>
    <t>29 232 848 ОП МП-007</t>
  </si>
  <si>
    <t>«автодорога по д.Игнатовское»</t>
  </si>
  <si>
    <t>29 232 848 ОП МП-008</t>
  </si>
  <si>
    <t>«автодорога по д.Василенки»</t>
  </si>
  <si>
    <t>29 232 848 ОП МП-009</t>
  </si>
  <si>
    <t>«автодорога по д.Акиньшино»</t>
  </si>
  <si>
    <t>29 232 848 ОП МП-010</t>
  </si>
  <si>
    <t>«автодорога по д.Нелюбовское»</t>
  </si>
  <si>
    <t>29 232 848 ОП МП-011</t>
  </si>
  <si>
    <t>«автодорога по д.Красниково»</t>
  </si>
  <si>
    <t>29 232 848 ОП МП-012</t>
  </si>
  <si>
    <t>«автодорога по д.Зеленино»</t>
  </si>
  <si>
    <t>29 232 848 ОП МП-013</t>
  </si>
  <si>
    <t>«автодорога по д.Салтановское»</t>
  </si>
  <si>
    <t>29 232 848 ОП МП-014</t>
  </si>
  <si>
    <t>«автодорога по д.Алексеевское»</t>
  </si>
  <si>
    <t>29 232 848 ОП МП-015</t>
  </si>
  <si>
    <t>«автодорога по д.Чесноки»</t>
  </si>
  <si>
    <t>29 232 848 ОП МП-016</t>
  </si>
  <si>
    <t>29 232 848 ОП МП-017</t>
  </si>
  <si>
    <t>«автодорога по д.Митинка»</t>
  </si>
  <si>
    <t>29 232 848 ОП МП-018</t>
  </si>
  <si>
    <t>«автодорога по д.Кузьменки»</t>
  </si>
  <si>
    <t>29 232 816 ОП МП-001</t>
  </si>
  <si>
    <t>«автодорога по с.Ильинское»</t>
  </si>
  <si>
    <t>29 232 816 ОП МП-002</t>
  </si>
  <si>
    <t>«автодорога по д.Юпинка»</t>
  </si>
  <si>
    <t>29 232 816 ОП МП-003</t>
  </si>
  <si>
    <t>«автодорога по д.Ермашовка»</t>
  </si>
  <si>
    <t>29 232 816 ОП МП-004</t>
  </si>
  <si>
    <t>«автодорога по д.Гордиково»</t>
  </si>
  <si>
    <t>29 232 816 ОП МП-005</t>
  </si>
  <si>
    <t>«автодорога по д.Нижние Вялицы»</t>
  </si>
  <si>
    <t>29 232 816 ОП МП-006</t>
  </si>
  <si>
    <t>«автодорога по д.Верхние Вялицы»</t>
  </si>
  <si>
    <t>29 232 816 ОП МП-007</t>
  </si>
  <si>
    <t>«автодорога по д.Ястребово»</t>
  </si>
  <si>
    <t>29 232 844 ОП МП-001</t>
  </si>
  <si>
    <t>«автодорога по с.Макарово»</t>
  </si>
  <si>
    <t>29 232 844 ОП МП-002</t>
  </si>
  <si>
    <t>«автодорога по д.Гулево»</t>
  </si>
  <si>
    <t>29 232 844 ОП МП-003</t>
  </si>
  <si>
    <t>«автодорога по д.Шильниково»</t>
  </si>
  <si>
    <t>29 232 844 ОП МП-004</t>
  </si>
  <si>
    <t>«автодорога по д.Никольское»</t>
  </si>
  <si>
    <t>29 232 844 ОП МП-005</t>
  </si>
  <si>
    <t>«автодорога по д.Муратовка»</t>
  </si>
  <si>
    <t>29 232 844 ОП МП-006</t>
  </si>
  <si>
    <t>«автодорога по д.Истомино»</t>
  </si>
  <si>
    <t>29 232 844 ОП МП-007</t>
  </si>
  <si>
    <t>«автодорога по д.Новоселки»</t>
  </si>
  <si>
    <t>29 232 844 ОП МП-008</t>
  </si>
  <si>
    <t>«автодорога по д.Забелино»</t>
  </si>
  <si>
    <t>29 232 844 ОП МП-009</t>
  </si>
  <si>
    <t>«автодорога по д.Темерево»</t>
  </si>
  <si>
    <t>29 232 844 ОП МП-010</t>
  </si>
  <si>
    <t>«автодорога по д.Карауловка»</t>
  </si>
  <si>
    <t>29 232 844 ОП МП-011</t>
  </si>
  <si>
    <t>«автодорога по д.Брагино»</t>
  </si>
  <si>
    <t>29 232 844 ОП МП-012</t>
  </si>
  <si>
    <t>«автодорога по д.Зенилово»</t>
  </si>
  <si>
    <t>29 232 844 ОП МП-013</t>
  </si>
  <si>
    <t>«автодорога по д.Оберегаевка»</t>
  </si>
  <si>
    <t>29 232 844 ОП МП-014</t>
  </si>
  <si>
    <t>«автодорога по д.Басово»</t>
  </si>
  <si>
    <t>29 232 812 ОП МП-001</t>
  </si>
  <si>
    <t>«автодорога по ул.Центральная с.Калужская опытная сельскохозяйственная станция»</t>
  </si>
  <si>
    <t>29 232 812 ОП МП-002</t>
  </si>
  <si>
    <t>«автодорога по ул.Школьная с.Калужская опытная сельскохозяйственная станция»</t>
  </si>
  <si>
    <t>29 232 812 ОП МП-003</t>
  </si>
  <si>
    <t>«автодорога по ул.Садовая с.Калужская опытная сельскохозяйственная станция»</t>
  </si>
  <si>
    <t>29 232 812 ОП МП-004</t>
  </si>
  <si>
    <t>«автодорога по ул.Лесная с.Калужская опытная сельскохозяйственная станция»</t>
  </si>
  <si>
    <t>29 232 812 ОП МП-005</t>
  </si>
  <si>
    <t>«автодорога по д.Заболотье»</t>
  </si>
  <si>
    <t>29 232 812 ОП МП-006</t>
  </si>
  <si>
    <t>«автодорога по д. Малая Слободка»</t>
  </si>
  <si>
    <t>29 232 812 ОП МП-007</t>
  </si>
  <si>
    <t>«автодорога по с.Воротынск»</t>
  </si>
  <si>
    <t>29 232 812 ОП МП-008</t>
  </si>
  <si>
    <t>«автодорога по д. Заборовка»</t>
  </si>
  <si>
    <t>29 232 812 ОП МП-009</t>
  </si>
  <si>
    <t>«автодорога по д. Столпово»</t>
  </si>
  <si>
    <t>29 232 812 ОП МП-010</t>
  </si>
  <si>
    <t>«автодорога по д.Слевидово»</t>
  </si>
  <si>
    <t>29 232 812 ОП МП-011</t>
  </si>
  <si>
    <t>«автодорога по д.Рядово»</t>
  </si>
  <si>
    <t>29 232 812 ОП МП-012</t>
  </si>
  <si>
    <t>«автодорога по д.Лучкино»</t>
  </si>
  <si>
    <t>29 232 812 ОП МП-013</t>
  </si>
  <si>
    <t>«автодорога по с.Калужской Геологоразведочной партии»</t>
  </si>
  <si>
    <t>29 232 856 ОП МП-001</t>
  </si>
  <si>
    <t>«автодорога по д.Песочня»</t>
  </si>
  <si>
    <t>29 232 856 ОП МП-002</t>
  </si>
  <si>
    <t>«автодорога по д.Алексеевка»</t>
  </si>
  <si>
    <t>29 232 856 ОП МП-003</t>
  </si>
  <si>
    <t>«автодорога по д.Зябки»</t>
  </si>
  <si>
    <t>29 232 856 ОП МП-004</t>
  </si>
  <si>
    <t>«автодорога по д.Самойлово»</t>
  </si>
  <si>
    <t>29 232 856 ОП МП-005</t>
  </si>
  <si>
    <t>«автодорога по д.Кременево»</t>
  </si>
  <si>
    <t>29 232 856 ОП МП-006</t>
  </si>
  <si>
    <t>«автодорога по д.Никитье»</t>
  </si>
  <si>
    <t>29 232 856 ОП МП-007</t>
  </si>
  <si>
    <t>«автодорога по д.Курово»</t>
  </si>
  <si>
    <t>29 232 856 ОП МП-008</t>
  </si>
  <si>
    <t>«автодорога по д.Борисовка»</t>
  </si>
  <si>
    <t>29 232 856 ОП МП-009</t>
  </si>
  <si>
    <t>«автодорога по д.Семеновка»</t>
  </si>
  <si>
    <t>29 232 856 ОП МП-010</t>
  </si>
  <si>
    <t>«автодорога по д.Пески»</t>
  </si>
  <si>
    <t>29 232 856 ОП МП-011</t>
  </si>
  <si>
    <t>«автодорога по д.Гриднево»</t>
  </si>
  <si>
    <t>29 232 836 ОП МП-001</t>
  </si>
  <si>
    <t>«автодорога по деревне Погореловка»</t>
  </si>
  <si>
    <t>29 232 836 ОП МП-002</t>
  </si>
  <si>
    <t>«автодорога по деревне Синятино»</t>
  </si>
  <si>
    <t>29 232 836 ОП МП-003</t>
  </si>
  <si>
    <t>«автодорога по деревне Петровское»</t>
  </si>
  <si>
    <t>29 232 836 ОП МП-004</t>
  </si>
  <si>
    <t>«автодорога по деревне Ждановка»</t>
  </si>
  <si>
    <t>29 232 836 ОП МП-005</t>
  </si>
  <si>
    <t>«автодорога по деревне Колышово»</t>
  </si>
  <si>
    <t>«автодорога по д.Хотисино»</t>
  </si>
  <si>
    <t>«автодорога по д.Холмы»</t>
  </si>
  <si>
    <t>«автодорога по д.Антиповка»</t>
  </si>
  <si>
    <t>«автодорога по д.Подкорье»</t>
  </si>
  <si>
    <t>«автодорога по д.Ломохино»</t>
  </si>
  <si>
    <t>«автодорога по д.Боково»</t>
  </si>
  <si>
    <t>«автодорога по д.Фитинино»</t>
  </si>
  <si>
    <t>«автодорога по д.Усадье»</t>
  </si>
  <si>
    <t>«автодорога по с.Рождественно»</t>
  </si>
  <si>
    <t>«автодорога по д.Петропавлово»</t>
  </si>
  <si>
    <t>«автодорога по д.Мархань»</t>
  </si>
  <si>
    <t>29 232 840 ОП МП-001</t>
  </si>
  <si>
    <t>«автодорога по ул.Черемушки с.Корекозево»</t>
  </si>
  <si>
    <t>29 232 840 ОП МП-002</t>
  </si>
  <si>
    <t>«автодорога по ул.Лесная с.Корекозево»</t>
  </si>
  <si>
    <t>29 232 840 ОП МП-003</t>
  </si>
  <si>
    <t>«автодорога по ул.Сосновая с.Корекозево»</t>
  </si>
  <si>
    <t>29 232 840 ОП МП-004</t>
  </si>
  <si>
    <t>«автодорога по д.Киреево»</t>
  </si>
  <si>
    <t>29 232 840 ОП МП-005</t>
  </si>
  <si>
    <t>«автодорога по д.Голодское»</t>
  </si>
  <si>
    <t>29 232 840 ОП МП-006</t>
  </si>
  <si>
    <t>«автодорога по д. Бушовка»</t>
  </si>
  <si>
    <t>29 232 840 ОП МП-007</t>
  </si>
  <si>
    <t>«автодорога по д.Вороново»</t>
  </si>
  <si>
    <t>29 232 840 ОП МП-008</t>
  </si>
  <si>
    <t>«автодорога по д. Мехово»</t>
  </si>
  <si>
    <t>29 232 840 ОП МП-009</t>
  </si>
  <si>
    <t>«автодорога по д. Вольня»</t>
  </si>
  <si>
    <t>29 232 840 ОП МП-010</t>
  </si>
  <si>
    <t>«автодорога по д.Голчань»</t>
  </si>
  <si>
    <t>29 232 804 ОП МП-001</t>
  </si>
  <si>
    <t>«автодорога по с.Ахлебинино»</t>
  </si>
  <si>
    <t>29 232 804 ОП МП-002</t>
  </si>
  <si>
    <t>«автодорога по д.Верхнее Косьмово»</t>
  </si>
  <si>
    <t>29 232 804 ОП МП-003</t>
  </si>
  <si>
    <t>«автодорога по д.Нижнее Косьмово»</t>
  </si>
  <si>
    <t>29 232 804 ОП МП-004</t>
  </si>
  <si>
    <t>«автодорога по с.Никольское»</t>
  </si>
  <si>
    <t>29 232 804 ОП МП-005</t>
  </si>
  <si>
    <t>«автодорога по д.Пушкино»</t>
  </si>
  <si>
    <t>29 232 804 ОП МП-006</t>
  </si>
  <si>
    <t>«автодорога по д.Средняя Фабрика»</t>
  </si>
  <si>
    <t>29 232 804 ОП МП-007</t>
  </si>
  <si>
    <t>«автодорога по д.Николаевка»</t>
  </si>
  <si>
    <t>29 232 832 ОП МП-001</t>
  </si>
  <si>
    <t>«автодорога по д.Большие Козлы»</t>
  </si>
  <si>
    <t>29 232 832 ОП МП-002</t>
  </si>
  <si>
    <t>«автодорога по д.Малые Козлы»</t>
  </si>
  <si>
    <t>29 232 832 ОП МП-003</t>
  </si>
  <si>
    <t>«автодорога по д.Мужачи»</t>
  </si>
  <si>
    <t>29 232 832 ОП МП-004</t>
  </si>
  <si>
    <t>«автодорога по д.Желовь»</t>
  </si>
  <si>
    <t>29 232 832 ОП МП-005</t>
  </si>
  <si>
    <t>«автодорога по с.Ильинка»</t>
  </si>
  <si>
    <t>29 232 832 ОП МП-006</t>
  </si>
  <si>
    <t>«автодорога по д.Морозовы Дворы»</t>
  </si>
  <si>
    <t>29 232 832 ОП МП-007</t>
  </si>
  <si>
    <t>«автодорога по д.Крутые Верхи»</t>
  </si>
  <si>
    <t>29 232 832 ОП МП-008</t>
  </si>
  <si>
    <t>«автодорога по д.Еловка»</t>
  </si>
  <si>
    <t>29 232 832 ОП МП-009</t>
  </si>
  <si>
    <t>«автодорога по д.Крутицы»</t>
  </si>
  <si>
    <t>29 232 832 ОП МП-011</t>
  </si>
  <si>
    <t>«автодорога по д.Большие Сушки»</t>
  </si>
  <si>
    <t>29 232 832 ОП МП-012</t>
  </si>
  <si>
    <t>«автодорога по д.Елизаветинка»</t>
  </si>
  <si>
    <t>29 232 820 ОП МП-001</t>
  </si>
  <si>
    <t>«автодорога по д.Горки»</t>
  </si>
  <si>
    <t>29 232 820 ОП МП-002</t>
  </si>
  <si>
    <t>«автодорога по с.Рыченки»</t>
  </si>
  <si>
    <t>29 232 820 ОП МП-003</t>
  </si>
  <si>
    <t>«автодорога по д.Прудищи»</t>
  </si>
  <si>
    <t>29 232 820 ОП МП-004</t>
  </si>
  <si>
    <t>«автодорога по д.Дементеевка»</t>
  </si>
  <si>
    <t>29 232 820 ОП МП-005</t>
  </si>
  <si>
    <t>«автодорога по д.Кульнево»</t>
  </si>
  <si>
    <t>29 232 820 ОП МП-006</t>
  </si>
  <si>
    <t>«автодорога по д.Воробьевка»</t>
  </si>
  <si>
    <t>29 232 820 ОП МП-007</t>
  </si>
  <si>
    <t>«автодорога по д.Ершовка»</t>
  </si>
  <si>
    <t>29 232 820 ОП МП-008</t>
  </si>
  <si>
    <t>«автодорога по д.Ладыгино»</t>
  </si>
  <si>
    <t>29 232 824 ОП МП-001</t>
  </si>
  <si>
    <t>«автодорога по с.Гремячево»</t>
  </si>
  <si>
    <t>29 232 824 ОП МП-002</t>
  </si>
  <si>
    <t>«автодорога по д.Букреево»</t>
  </si>
  <si>
    <t>29 232 824 ОП МП-003</t>
  </si>
  <si>
    <t>«автодорога по д.Зимницы»</t>
  </si>
  <si>
    <t>29 232 824 ОП МП-004</t>
  </si>
  <si>
    <t>«автодорога по д.Раздол»</t>
  </si>
  <si>
    <t>29 232 860 ОП МП-001</t>
  </si>
  <si>
    <t>«автодорога по д.Покровское»</t>
  </si>
  <si>
    <t>29 232 860 ОП МП-002</t>
  </si>
  <si>
    <t>«автодорога по д.Нижнее Алопово»</t>
  </si>
  <si>
    <t>29 232 860 ОП МП-003</t>
  </si>
  <si>
    <t>«автодорога по д.Кожемякино»</t>
  </si>
  <si>
    <t>29 232 860 ОП МП-004</t>
  </si>
  <si>
    <t>«автодорога по д.Михайловское»</t>
  </si>
  <si>
    <t>29 232 860 ОП МП-005</t>
  </si>
  <si>
    <t>«автодорога по д.Рядовка»</t>
  </si>
  <si>
    <t>29 232 860 ОП МП-006</t>
  </si>
  <si>
    <t>«автодорога по д.Афанасьево»</t>
  </si>
  <si>
    <t>29 232 860 ОП МП-007</t>
  </si>
  <si>
    <t>«автодорога по д.Комсино»</t>
  </si>
  <si>
    <t>29 232 860 ОП МП-008</t>
  </si>
  <si>
    <t>«автодорога по д.Верхнее Алопово»</t>
  </si>
  <si>
    <t>29 000 872 ОП МП-001</t>
  </si>
  <si>
    <t>«автодорога по ул. Ленина с. Перемышль»</t>
  </si>
  <si>
    <t>29 000 872 ОП МП-002</t>
  </si>
  <si>
    <t>«автодорога по ул. Красноармейская с. Перемышль»</t>
  </si>
  <si>
    <t>29 000 872 ОП МП -003</t>
  </si>
  <si>
    <t>Автодорога по ул. 25 Октября с. Перемышль»</t>
  </si>
  <si>
    <t>29 000 872 ОП МП -004</t>
  </si>
  <si>
    <t>«автодорога по ул. Республиканская с. Перемышль»</t>
  </si>
  <si>
    <t>29 000 872 ОП МП -005</t>
  </si>
  <si>
    <t>«автодорога по пер. Республиканский с. Перемышль»</t>
  </si>
  <si>
    <t>29 000 872 ОП МП -006</t>
  </si>
  <si>
    <t>«автодорога по ул. Гагарина с. Перемышль»</t>
  </si>
  <si>
    <t>29 000 872 ОП МП -007</t>
  </si>
  <si>
    <t>«автодорога по ул. Суворова с. Перемышль»</t>
  </si>
  <si>
    <t>29 000 872 ОП МП -008</t>
  </si>
  <si>
    <t>«автодорога по ул. Генерала Трубникова с. Перемышль»</t>
  </si>
  <si>
    <t>29 000 872 ОП МП -009</t>
  </si>
  <si>
    <t>«автодорога по ул. Коммунистическая с. Перемышль»</t>
  </si>
  <si>
    <t>29 000 872ОП МП -010</t>
  </si>
  <si>
    <t>«автодорога по ул. Советская с. Перемышль»</t>
  </si>
  <si>
    <t>29 000 872 ОП МП -011</t>
  </si>
  <si>
    <t>«автодорога по ул. Коммунаров с. Перемышль»</t>
  </si>
  <si>
    <t>29 000 872 ОП МП -012</t>
  </si>
  <si>
    <t>«автодорога по ул. Красный Октябрь с. Перемышль»</t>
  </si>
  <si>
    <t>29 000 872 ОП МП -013</t>
  </si>
  <si>
    <t>«автодорога по ул. Циолковского с. Перемышль»</t>
  </si>
  <si>
    <t>29 000 872 ОП МП -014</t>
  </si>
  <si>
    <t>«автодорога по ул. Льва Толстого с. Перемышль»</t>
  </si>
  <si>
    <t>29 000 872 ОП МП -015</t>
  </si>
  <si>
    <t>«автодорога по пер. Циолковского с. Перемышль»</t>
  </si>
  <si>
    <t>29 000 872 ОП МП -016</t>
  </si>
  <si>
    <t>«автодорога по ул. Зеленая с. Перемышль»</t>
  </si>
  <si>
    <t>29 000 872 ОП МП -017</t>
  </si>
  <si>
    <t>«автодорога по ул. Федеративная с. Перемышль»</t>
  </si>
  <si>
    <t>29 000 872 ОП МП -018</t>
  </si>
  <si>
    <t>«автодорога по ул. Мелиораторов с. Перемышль»</t>
  </si>
  <si>
    <t>29 000 872 ОП МП -019</t>
  </si>
  <si>
    <t>«автодорога по ул. Набережная с. Перемышль»</t>
  </si>
  <si>
    <t>29 000 872 ОП МП -020</t>
  </si>
  <si>
    <t>«автодорога по ул. Садовая с. Перемышль»</t>
  </si>
  <si>
    <t>29 000 872 ОП МП -021</t>
  </si>
  <si>
    <t>«автодорога по ул. Строительная с. Перемышль»</t>
  </si>
  <si>
    <t>29 000 872 ОП МП -022</t>
  </si>
  <si>
    <t>«автодорога по ул. Дачная с. Перемышль»</t>
  </si>
  <si>
    <t>29 000 872 ОП МП -023</t>
  </si>
  <si>
    <t>«автодорога по пер. Красноармейский с. Перемышль»</t>
  </si>
  <si>
    <t>29 000 872 ОП МП -024</t>
  </si>
  <si>
    <t>«автодорога по пер. 25 Октября с. Перемышль»</t>
  </si>
  <si>
    <t>29 000 872 ОП МП -025</t>
  </si>
  <si>
    <t>«автодорога по ул. Площадь Свободы с. Перемышль»</t>
  </si>
  <si>
    <t>29 000 872 ОП МП -026</t>
  </si>
  <si>
    <t>«автодорога по деревне Жашково»</t>
  </si>
  <si>
    <t>29 000 872 ОП МП -028</t>
  </si>
  <si>
    <t>«автодорога по деревне Поляна»</t>
  </si>
  <si>
    <t>Асфальт</t>
  </si>
  <si>
    <t>Грунт</t>
  </si>
  <si>
    <t>Щебень</t>
  </si>
  <si>
    <t>с. Калужская опытная сельскохозяйственная станция – д. Столпово</t>
  </si>
  <si>
    <t>с. Калужская опытная сельскохозяйственная станция – д. Рядово</t>
  </si>
  <si>
    <t>«д. Голодское – Суворов – Одоев -Григоровское» - д.Вольня</t>
  </si>
  <si>
    <t>"д.Голодское –д. Константиновка –д. Крутые Верхи (карьер)" – д. Малютино</t>
  </si>
  <si>
    <t>1Р132 «Калуга – Тула  – Михайлов  – Рязань»  – с.Рождественно</t>
  </si>
  <si>
    <t>Бетон</t>
  </si>
  <si>
    <t>Принадлежность</t>
  </si>
  <si>
    <t>с. Борищево</t>
  </si>
  <si>
    <t>дер. Сильково</t>
  </si>
  <si>
    <t>д. Григоровское</t>
  </si>
  <si>
    <t>с. Ильинское</t>
  </si>
  <si>
    <t>с. Макорово</t>
  </si>
  <si>
    <t>с. КОСХС</t>
  </si>
  <si>
    <t>д. Песочня</t>
  </si>
  <si>
    <t>д. Погореловка</t>
  </si>
  <si>
    <t>д. Хотисино</t>
  </si>
  <si>
    <t>с. Корекозево</t>
  </si>
  <si>
    <t>с. Ахлебинино</t>
  </si>
  <si>
    <t>д. Большие Козлы</t>
  </si>
  <si>
    <t>д. Горки</t>
  </si>
  <si>
    <t>с. Гремячево</t>
  </si>
  <si>
    <t>д. Покровское</t>
  </si>
  <si>
    <t>с. Перемышль</t>
  </si>
  <si>
    <t>29 000872 ОП МП -027</t>
  </si>
  <si>
    <t>«автодо рога по деревне Хохловка»</t>
  </si>
  <si>
    <t>с. Борищево – д. Орля</t>
  </si>
  <si>
    <t>ПАСПОРТИЗАЦИЯ</t>
  </si>
  <si>
    <t>Да</t>
  </si>
  <si>
    <t>да</t>
  </si>
  <si>
    <t>МЕЖЕВАНИЕ</t>
  </si>
  <si>
    <t>«автодорога по д.Никитинка»</t>
  </si>
  <si>
    <t>Названия строк</t>
  </si>
  <si>
    <t>Итог</t>
  </si>
  <si>
    <t>Коэфициент</t>
  </si>
  <si>
    <t>Сумма, рублей</t>
  </si>
  <si>
    <t>ФИЛЬТР ПО ТВЕРДОМУ</t>
  </si>
  <si>
    <t>Столбец1</t>
  </si>
  <si>
    <t>29232868 ОП МП19-004</t>
  </si>
  <si>
    <t>Столбец2</t>
  </si>
  <si>
    <t>2 дороги</t>
  </si>
  <si>
    <t xml:space="preserve"> </t>
  </si>
  <si>
    <t>с. Макарово</t>
  </si>
  <si>
    <t>Таблица уточненная. Автомобильные дороги местного значения (в границах городской агломерации) "Калужская агломерация".</t>
  </si>
  <si>
    <t>БКД</t>
  </si>
  <si>
    <t>№</t>
  </si>
  <si>
    <t>Код в СКДФ</t>
  </si>
  <si>
    <t>ФАКТ на 30.06.2021</t>
  </si>
  <si>
    <t>Протяженность дороги (улицы), км</t>
  </si>
  <si>
    <t>Участок дороги в границах агломерации</t>
  </si>
  <si>
    <t>Предложения для внесения изменений</t>
  </si>
  <si>
    <t>Фактическое состояние на 31.12.2018</t>
  </si>
  <si>
    <t>Фактическое состояние на 31.12.2019</t>
  </si>
  <si>
    <t>Инстументальная диагностика</t>
  </si>
  <si>
    <t>Экспертная оценка</t>
  </si>
  <si>
    <t xml:space="preserve">Наименование автомобильной дороги (улицы) </t>
  </si>
  <si>
    <t>Наименование муниципального образования</t>
  </si>
  <si>
    <t>всего по субъекту</t>
  </si>
  <si>
    <t>в границах агломерации</t>
  </si>
  <si>
    <t>Начало (км+м)</t>
  </si>
  <si>
    <t>Конец (км+м)</t>
  </si>
  <si>
    <t>км</t>
  </si>
  <si>
    <t>%</t>
  </si>
  <si>
    <t>Дата проведения</t>
  </si>
  <si>
    <t>Изменение Перечень</t>
  </si>
  <si>
    <t>Изменение Агломерация</t>
  </si>
  <si>
    <t>Перемышльский район</t>
  </si>
  <si>
    <t xml:space="preserve"> «Калуга-Тула»-д. Н. Косьмово</t>
  </si>
  <si>
    <t>2+400</t>
  </si>
  <si>
    <t>0+700</t>
  </si>
  <si>
    <t xml:space="preserve"> «Калуга – Козельск»  - д.Кожемякино</t>
  </si>
  <si>
    <t>1+820</t>
  </si>
  <si>
    <t>д.В.Вялицы - д.Н.Вялицы</t>
  </si>
  <si>
    <t>2+760</t>
  </si>
  <si>
    <t>«"Москва – Киев" - Перемышль» - д. Н. Подгоричи</t>
  </si>
  <si>
    <t>2+220</t>
  </si>
  <si>
    <t xml:space="preserve">с.  Калужская опытная сельскохозяйственная станция – д. Столпово </t>
  </si>
  <si>
    <t>1+940</t>
  </si>
  <si>
    <t xml:space="preserve"> «Москва – Киев - Перемышль» - д. Заболотье</t>
  </si>
  <si>
    <t>2+030</t>
  </si>
  <si>
    <t xml:space="preserve"> «Калуга - Козельск» - д. Б. Сушки</t>
  </si>
  <si>
    <t>5+000</t>
  </si>
  <si>
    <t xml:space="preserve"> «д.Голодское – Суворов - Одоев» - д.Зимницы</t>
  </si>
  <si>
    <t>0+670</t>
  </si>
  <si>
    <t xml:space="preserve"> «Калуга -Козельск» - Пионер  лагеря </t>
  </si>
  <si>
    <t>2+100</t>
  </si>
  <si>
    <t xml:space="preserve"> «д.Голодское – Суворов - Одоев» - д. Мехово</t>
  </si>
  <si>
    <t>4+200</t>
  </si>
  <si>
    <t>2+780</t>
  </si>
  <si>
    <t>1+970</t>
  </si>
  <si>
    <t>«Калуга-Тула»-д.Фитинино</t>
  </si>
  <si>
    <t>2+000</t>
  </si>
  <si>
    <t>4+000</t>
  </si>
  <si>
    <t>0+800</t>
  </si>
  <si>
    <t>«Калуга-Тула»- д.Крутицы</t>
  </si>
  <si>
    <t>3+000</t>
  </si>
  <si>
    <t>1Р132 «Калуга – Тула – Михайлов – Рязань» – с.Рождественно</t>
  </si>
  <si>
    <t>0+000</t>
  </si>
  <si>
    <t>1+500</t>
  </si>
  <si>
    <t xml:space="preserve">Автодорога по деревне Сильково </t>
  </si>
  <si>
    <t>1+400</t>
  </si>
  <si>
    <t>Автодорога по деревне Торопово</t>
  </si>
  <si>
    <t>1+390</t>
  </si>
  <si>
    <t>Автомдорога по с.Борищево</t>
  </si>
  <si>
    <t>2+660</t>
  </si>
  <si>
    <t>Автодорога по д.Василенки</t>
  </si>
  <si>
    <t>0+480</t>
  </si>
  <si>
    <t>Автодорога по с.Ильинское</t>
  </si>
  <si>
    <t>Автодорога по д.Григоровское</t>
  </si>
  <si>
    <t>Автодорога по д. Заборовка</t>
  </si>
  <si>
    <t>1+000</t>
  </si>
  <si>
    <t>Автодорога по д.Песочня</t>
  </si>
  <si>
    <t>1+700</t>
  </si>
  <si>
    <t>Автодорога по деревне Погореловка</t>
  </si>
  <si>
    <t>1+200</t>
  </si>
  <si>
    <t>Автодорога по д.Хотисино</t>
  </si>
  <si>
    <t>0+410</t>
  </si>
  <si>
    <t>Автодорога по с.Рождественно</t>
  </si>
  <si>
    <t>1+550</t>
  </si>
  <si>
    <t>Автодорога по с.Ахлебинино</t>
  </si>
  <si>
    <t>Автодорога по д.Верхнее Косьмово</t>
  </si>
  <si>
    <t>Автодорога по д.Крутицы</t>
  </si>
  <si>
    <t>1+290</t>
  </si>
  <si>
    <t>Автодорога по д.Большие Сушки</t>
  </si>
  <si>
    <t>0+600</t>
  </si>
  <si>
    <t>Автодорога по д.Ладыгино</t>
  </si>
  <si>
    <t>0+790</t>
  </si>
  <si>
    <t>Автодорога по д.Горки</t>
  </si>
  <si>
    <t>3+400</t>
  </si>
  <si>
    <t>Автодорога по д.Зимницы</t>
  </si>
  <si>
    <t>Автодорога по д.Покровское</t>
  </si>
  <si>
    <t>0+840</t>
  </si>
  <si>
    <t>Автодорога по д.Верхнее Алопово</t>
  </si>
  <si>
    <t>0+430</t>
  </si>
  <si>
    <t>Автодорога по с.Макарово</t>
  </si>
  <si>
    <t>1+760</t>
  </si>
  <si>
    <t>Автодорога по ул. Ленина с. Перемышль</t>
  </si>
  <si>
    <t>1+260</t>
  </si>
  <si>
    <t>Автодорога по ул. Красноармейская с. Перемышль</t>
  </si>
  <si>
    <t>Автодорога по ул. Коммунистическая с. Перемышль</t>
  </si>
  <si>
    <t>Автодорога по ул. Коммунаров с. Перемышль</t>
  </si>
  <si>
    <t>1+180</t>
  </si>
  <si>
    <t>Автодорога по ул. Красный Октябрь с. Перемышль</t>
  </si>
  <si>
    <t>Автодорога по ул. Зеленая с. Перемышль</t>
  </si>
  <si>
    <t>0+500</t>
  </si>
  <si>
    <t>Автодорога по ул. Федеративная с. Перемышль</t>
  </si>
  <si>
    <t>Автодорога по ул. Садовая с. Перемышль</t>
  </si>
  <si>
    <t>1+100</t>
  </si>
  <si>
    <t>Автодорога по ул. Дачная с. Перемышль</t>
  </si>
  <si>
    <t>0+570</t>
  </si>
  <si>
    <t>Автодорога по д. Хохловка</t>
  </si>
  <si>
    <t>1+340</t>
  </si>
  <si>
    <t xml:space="preserve">Глава Администрации муниципального района </t>
  </si>
  <si>
    <t>"Перемышльский район"</t>
  </si>
  <si>
    <t>______________Н.В. Бадеева</t>
  </si>
  <si>
    <t>Приложение к постановлению</t>
  </si>
  <si>
    <t>администрации муниципального района</t>
  </si>
  <si>
    <t xml:space="preserve"> «Перемышльский район» </t>
  </si>
  <si>
    <r>
      <t xml:space="preserve">№ </t>
    </r>
    <r>
      <rPr>
        <u/>
        <sz val="12"/>
        <color theme="1"/>
        <rFont val="Times New Roman"/>
        <family val="1"/>
        <charset val="204"/>
      </rPr>
      <t xml:space="preserve">707 </t>
    </r>
    <r>
      <rPr>
        <sz val="12"/>
        <color theme="1"/>
        <rFont val="Times New Roman"/>
        <family val="1"/>
        <charset val="204"/>
      </rPr>
      <t>от « 26 » июля 2021г.</t>
    </r>
  </si>
  <si>
    <t>Таблица 1.</t>
  </si>
  <si>
    <t xml:space="preserve">Перечень автомобильных дорог общего пользования местного значения 
муниципального района «Перемышльский район» </t>
  </si>
  <si>
    <t>Протяженность</t>
  </si>
  <si>
    <t>Вид покрытия</t>
  </si>
  <si>
    <t xml:space="preserve"> (км)</t>
  </si>
  <si>
    <t>Г</t>
  </si>
  <si>
    <t>Щ</t>
  </si>
  <si>
    <t>А</t>
  </si>
  <si>
    <t>Б</t>
  </si>
  <si>
    <t>1</t>
  </si>
  <si>
    <t>2</t>
  </si>
  <si>
    <t>3</t>
  </si>
  <si>
    <t>5</t>
  </si>
  <si>
    <t>4</t>
  </si>
  <si>
    <t>6</t>
  </si>
  <si>
    <t>7</t>
  </si>
  <si>
    <t xml:space="preserve"> «Калуга _Тула» - д.Николаевка</t>
  </si>
  <si>
    <t>д. Борищево  – д. Орля</t>
  </si>
  <si>
    <t>д. Ладыгино – д.  Ершовка</t>
  </si>
  <si>
    <t xml:space="preserve"> «с. Перемышль - д. Погореловка» – д.  Дементеевка</t>
  </si>
  <si>
    <t xml:space="preserve"> «п. Воротынск –с. Перемышль» - д. Ладыгино</t>
  </si>
  <si>
    <t xml:space="preserve"> «с. Перемышль – д. Погореловка» - д.Жашково</t>
  </si>
  <si>
    <t xml:space="preserve"> «д. Ильинское – д. В. Вялицы»- д. Ермашовка</t>
  </si>
  <si>
    <t xml:space="preserve"> «с. Ильинское – д.В. Вялицы» - д. Кудиново </t>
  </si>
  <si>
    <t xml:space="preserve"> «Москва – Киев - Перемышль» - д. Н. Подгоричи</t>
  </si>
  <si>
    <t>с.  Калужская опытная сельскохозяйственная станция – д. Рядово</t>
  </si>
  <si>
    <t xml:space="preserve"> «д. Голодское – Суворов – Одоев -Григоровское» - д.Вольня</t>
  </si>
  <si>
    <t xml:space="preserve"> «д.Голодское – Суворов - Одоев» - д. Раздол</t>
  </si>
  <si>
    <t>д.Малютино – д.  Кириловское</t>
  </si>
  <si>
    <t xml:space="preserve">"д.Голодское –д. Константиновка –д. Крутые Верхи (карьер)" –  д. Малютино </t>
  </si>
  <si>
    <t>д. Морозовы  дворы– д. Крутые Верхи</t>
  </si>
  <si>
    <t>д. Подкорье -  д. Петропавлово</t>
  </si>
  <si>
    <t>д. Рождественно  - д. Петропавлово</t>
  </si>
  <si>
    <t xml:space="preserve"> «Калуга - Тула» - д. Ломохино</t>
  </si>
  <si>
    <t xml:space="preserve"> «Калуга – Тула» - д. Фитинино</t>
  </si>
  <si>
    <t>д. Фитинино –д. Гриднево</t>
  </si>
  <si>
    <t>а/дорога «Калуга – Тула»  - д. Семеновка</t>
  </si>
  <si>
    <t xml:space="preserve"> «Калуга - Тула» - д. Борисовка</t>
  </si>
  <si>
    <t xml:space="preserve"> «Калуга - Тула» - д. Курово</t>
  </si>
  <si>
    <t xml:space="preserve"> 1Р132 «Калуга – Тула – Михайлов – Рязань» – д. Песочня – д. Кременево</t>
  </si>
  <si>
    <t xml:space="preserve"> «д. Песочня – д. Кременево» - д. Никитье</t>
  </si>
  <si>
    <t xml:space="preserve"> «д. Песочня – д. Кременево» - д. Самойлово</t>
  </si>
  <si>
    <t xml:space="preserve"> «Калуга - Тула» - д. Брагино</t>
  </si>
  <si>
    <t xml:space="preserve"> «Калуга - Тула - д. Брагино» - д. Зенилово</t>
  </si>
  <si>
    <t xml:space="preserve"> «Калуга - Тула» - д. Басово</t>
  </si>
  <si>
    <t xml:space="preserve"> «Калуга - Тула» - д. Забелино</t>
  </si>
  <si>
    <t xml:space="preserve"> «Калуга - Тула»– д. Темерево</t>
  </si>
  <si>
    <t xml:space="preserve"> «Калуга – Тула – д. Брагино»– д. Карауловка</t>
  </si>
  <si>
    <t xml:space="preserve"> «Калуга - Тула» - д. Брагино – д. Оберегаевка</t>
  </si>
  <si>
    <t xml:space="preserve"> д. Муратовка – д. Шильниково</t>
  </si>
  <si>
    <t xml:space="preserve"> 1Р132 «Калуга – Тула – Михайлов – Рязань» – д. Будаково</t>
  </si>
  <si>
    <t xml:space="preserve"> «Калуга - Тула»-д.Крутицы</t>
  </si>
  <si>
    <t>29 232 ОП МР-098</t>
  </si>
  <si>
    <t>29 232 ОП МР-099</t>
  </si>
  <si>
    <t xml:space="preserve">Карьер - д. Крутые Верхи </t>
  </si>
  <si>
    <t>29 232 ОП МР-100</t>
  </si>
  <si>
    <t>29 232 ОП МР-101</t>
  </si>
  <si>
    <t>29 232 ОП МР-102</t>
  </si>
  <si>
    <t>29 232 ОП МР-103</t>
  </si>
  <si>
    <t>29 232 ОП МР-104</t>
  </si>
  <si>
    <t>Таблица 2.</t>
  </si>
  <si>
    <t xml:space="preserve">Перечень автомобильных дорог общего пользования местного значения 
Сельских поселений входящих в состав муниципального района «Перемышльский район» </t>
  </si>
  <si>
    <t>Расчет межбюджетных трансфертов по содержанию автомобильных дорог</t>
  </si>
  <si>
    <t>общего пользования местного значения муниципального района на 2021 год и на плановый период 2022 и 2023 годов</t>
  </si>
  <si>
    <t>Наименование поселения</t>
  </si>
  <si>
    <t>Протяженность автомобильных дорог общего пользования местного значения муниципального района, км</t>
  </si>
  <si>
    <t>Нормативная потребность с учетом коээфициентов тыс.р.</t>
  </si>
  <si>
    <t>Размер средств от нормативной потребности</t>
  </si>
  <si>
    <t>Межбюджетные трансферты тыс.руб.</t>
  </si>
  <si>
    <t>Всего км.</t>
  </si>
  <si>
    <t xml:space="preserve">в т.ч. по категориям </t>
  </si>
  <si>
    <t>щебень, песчано-гравийная смесь, грунт</t>
  </si>
  <si>
    <t xml:space="preserve"> асфальтобетонное покрытие</t>
  </si>
  <si>
    <t>Село Ахлебинино</t>
  </si>
  <si>
    <t>Село Борищево</t>
  </si>
  <si>
    <t>Деревня Горки</t>
  </si>
  <si>
    <t>Село Гремячево</t>
  </si>
  <si>
    <t>Деревня Григоровское</t>
  </si>
  <si>
    <t>Село Ильинское</t>
  </si>
  <si>
    <t>Деревня Б.Козлы</t>
  </si>
  <si>
    <t>Село Калужская опытная с/х станция</t>
  </si>
  <si>
    <t>Село Корекозево</t>
  </si>
  <si>
    <t>Село Макарово</t>
  </si>
  <si>
    <t>Деревня Песочня</t>
  </si>
  <si>
    <t>Село Перемышль</t>
  </si>
  <si>
    <t>Деревня Покровское</t>
  </si>
  <si>
    <t>Деревня Погореловка</t>
  </si>
  <si>
    <t>Деревня Сильково</t>
  </si>
  <si>
    <t>Деревня Хотисино</t>
  </si>
  <si>
    <t>итого</t>
  </si>
  <si>
    <t>* норматив финансовых затрат на содержание автомобильных дорог  - 289,60 тыс.руб.</t>
  </si>
  <si>
    <t>* коэффициенты, учитывающие дифференциацию стоимости работ по содержанию автомобильных дорог V категории: асфальтобетон -1; щебень, песчано-гравийная смесь, грунт - 0,67</t>
  </si>
  <si>
    <t>&lt;*&gt; Постановление Правительства Калужской области от 28.06.2010г. № 248 (с изменениями) "О нормативах финансовых затрат на содержание, ремонт и капитальный ремонт автомобильных дорог общего пользования регионального и межмуниципального значения"</t>
  </si>
  <si>
    <t>22</t>
  </si>
  <si>
    <t>Большие Козлы  Корекозево</t>
  </si>
  <si>
    <t>д.Заболотье - д.Шамордино до  границы  «Бабынинского района»</t>
  </si>
  <si>
    <t>30 232 ОП МР-105</t>
  </si>
  <si>
    <t>8</t>
  </si>
  <si>
    <t>9</t>
  </si>
  <si>
    <t>10</t>
  </si>
  <si>
    <t>29 232 ОП МР-106</t>
  </si>
  <si>
    <t>с. Горенское-санаторий Звёздный</t>
  </si>
  <si>
    <t>12</t>
  </si>
  <si>
    <t>Коржев  ( Бабынинский район)</t>
  </si>
  <si>
    <t>0</t>
  </si>
  <si>
    <t>Луговая, Цветочная, Замулаева, Полевая</t>
  </si>
  <si>
    <t>Столбец3</t>
  </si>
  <si>
    <t>Столбец4</t>
  </si>
  <si>
    <t>Местные</t>
  </si>
  <si>
    <t xml:space="preserve">Большие Козлы  </t>
  </si>
  <si>
    <t>Столбец5</t>
  </si>
  <si>
    <t>Столбец6</t>
  </si>
  <si>
    <t>оп</t>
  </si>
  <si>
    <t>шк.авт</t>
  </si>
  <si>
    <t>шк. Авт</t>
  </si>
  <si>
    <t>шк. авт</t>
  </si>
  <si>
    <t>1,45/шк.авт</t>
  </si>
  <si>
    <t>Столбец42</t>
  </si>
  <si>
    <t>Столбец43</t>
  </si>
  <si>
    <t>км.</t>
  </si>
  <si>
    <t>Покровское</t>
  </si>
  <si>
    <t>Итого:</t>
  </si>
  <si>
    <t>с. Макарово – д. Гулево</t>
  </si>
  <si>
    <t>Столбец12</t>
  </si>
  <si>
    <t>29 000 872 ОП МП -029</t>
  </si>
  <si>
    <t>29 000 872 ОП МП -030</t>
  </si>
  <si>
    <t>29 000 872 ОП МП -031</t>
  </si>
  <si>
    <t>29 000 872 ОП МП -032</t>
  </si>
  <si>
    <t>«автодорога по ул. Полевая с. Перемышль»</t>
  </si>
  <si>
    <t>«автодорога по ул. Луговая с. Перемышль»</t>
  </si>
  <si>
    <t>«автодорога по ул. Михаила Замулаева с. Перемышль»</t>
  </si>
  <si>
    <t>«автодорога по ул. Цветочная с. Перемышль»</t>
  </si>
  <si>
    <t xml:space="preserve">Приложение к постановлению  Об утверждении перечня 
автомобильных дорог общего пользования 
местного значения муниципального района 
 «Перемышльский район», а также 
автомобильных дорог общего пользования 
местного значения сельских поселений 
входящих в состав муниципального района
«Перемышльский район» 
 и их идентикафиционных номеров от 27.10.2023 № 979
</t>
  </si>
  <si>
    <t>общего пользования местного значения муниципального района на 2024 год и на плановый период 2025 и 2026 годов</t>
  </si>
  <si>
    <t>29 232 ОП МР-105</t>
  </si>
  <si>
    <t>29 232 ОП МР-107</t>
  </si>
  <si>
    <t>д.Борищево-д.Родники</t>
  </si>
  <si>
    <t>«автодорога по д.Родникия»</t>
  </si>
  <si>
    <t>29 232 808 ОП МП-004</t>
  </si>
  <si>
    <t xml:space="preserve">Приложение к постановлению  Об утверждении перечня 
автомобильных дорог общего пользования 
местного значения муниципального района 
 «Перемышльский район», а также 
автомобильных дорог общего пользования 
местного значения сельских поселений 
входящих в состав муниципального района
«Перемышльский район» 
 и их идентикафиционных номеров от     .       .       2024  №    
</t>
  </si>
  <si>
    <t>Столбец44</t>
  </si>
  <si>
    <t>Столбец45</t>
  </si>
  <si>
    <t>Столбец46</t>
  </si>
  <si>
    <t>Столбец47</t>
  </si>
  <si>
    <t>Столбец48</t>
  </si>
  <si>
    <t>Столбец49</t>
  </si>
  <si>
    <t>с. Калужская опытная сельскохозяйственная станция – д. Рядово ( убрать дорогу)</t>
  </si>
  <si>
    <t>«автодорога по д.Рядово» добавить 1 км.</t>
  </si>
  <si>
    <t xml:space="preserve">«Калуга - Тула» - д. Брагино </t>
  </si>
  <si>
    <r>
      <t xml:space="preserve">«Калуга - Тула» - д. Борисовка </t>
    </r>
    <r>
      <rPr>
        <b/>
        <sz val="18"/>
        <color theme="1"/>
        <rFont val="Times New Roman"/>
        <family val="1"/>
        <charset val="204"/>
      </rPr>
      <t>удалить дорогу областная</t>
    </r>
  </si>
  <si>
    <r>
      <t xml:space="preserve">«Калуга - Тула» - д. Курово </t>
    </r>
    <r>
      <rPr>
        <b/>
        <sz val="18"/>
        <color theme="1"/>
        <rFont val="Times New Roman"/>
        <family val="1"/>
        <charset val="204"/>
      </rPr>
      <t>удалить дорогу неуступкин</t>
    </r>
  </si>
  <si>
    <t>30 000 872 ОП МП -033</t>
  </si>
  <si>
    <t>Проез от д ул. Михаила Замулаева до ул. Полевая</t>
  </si>
  <si>
    <t>удалить дорогу  уже не пользуются есть письмо главы корекозево</t>
  </si>
  <si>
    <t xml:space="preserve">Приложение к постановлению  Об утверждении перечня 
автомобильных дорог общего пользования 
местного значения муниципального района 
 «Перемышльский район», а также 
автомобильных дорог общего пользования 
местного значения сельских поселений 
входящих в состав муниципального района
«Перемышльский район»  и их идентикафиционных номеров от     .  15     .  января    2025  №    21
</t>
  </si>
  <si>
    <t>с.Борищево-д.Родники</t>
  </si>
  <si>
    <t>«автодорога по д.Родники»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</si>
</sst>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%"/>
    <numFmt numFmtId="166" formatCode="0.0"/>
  </numFmts>
  <fonts count="52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  <font>
      <sz val="24"/>
      <color theme="1"/>
      <name val="Times New Roman"/>
      <family val="1"/>
      <charset val="204"/>
    </font>
    <font>
      <sz val="2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8"/>
      <color rgb="FFFF0000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EEEB61"/>
        <bgColor indexed="64"/>
      </patternFill>
    </fill>
    <fill>
      <patternFill patternType="solid">
        <fgColor rgb="FFDD690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double">
        <color theme="6"/>
      </top>
      <bottom style="thin">
        <color theme="6" tint="0.39997558519241921"/>
      </bottom>
      <diagonal/>
    </border>
  </borders>
  <cellStyleXfs count="1">
    <xf numFmtId="0" fontId="0" fillId="0" borderId="0"/>
  </cellStyleXfs>
  <cellXfs count="41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4" fontId="2" fillId="0" borderId="0" xfId="0" applyNumberFormat="1" applyFont="1"/>
    <xf numFmtId="4" fontId="2" fillId="0" borderId="0" xfId="0" applyNumberFormat="1" applyFont="1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/>
    </xf>
    <xf numFmtId="0" fontId="5" fillId="0" borderId="0" xfId="0" applyFont="1" applyAlignment="1">
      <alignment horizontal="center" vertical="top" wrapText="1"/>
    </xf>
    <xf numFmtId="0" fontId="4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4" fillId="0" borderId="0" xfId="0" applyFont="1"/>
    <xf numFmtId="0" fontId="3" fillId="0" borderId="0" xfId="0" applyFont="1" applyFill="1" applyBorder="1" applyAlignment="1">
      <alignment horizontal="center" vertical="top" wrapText="1"/>
    </xf>
    <xf numFmtId="0" fontId="0" fillId="0" borderId="0" xfId="0" applyFont="1" applyFill="1"/>
    <xf numFmtId="0" fontId="7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0" fillId="0" borderId="0" xfId="0" applyFill="1"/>
    <xf numFmtId="0" fontId="9" fillId="0" borderId="6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12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3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center" vertical="center" wrapText="1"/>
    </xf>
    <xf numFmtId="164" fontId="9" fillId="0" borderId="15" xfId="0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/>
    </xf>
    <xf numFmtId="1" fontId="9" fillId="0" borderId="15" xfId="0" applyNumberFormat="1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9" fillId="0" borderId="15" xfId="0" applyFont="1" applyBorder="1"/>
    <xf numFmtId="0" fontId="14" fillId="0" borderId="15" xfId="0" applyFont="1" applyBorder="1"/>
    <xf numFmtId="0" fontId="15" fillId="0" borderId="6" xfId="0" applyFont="1" applyFill="1" applyBorder="1" applyAlignment="1">
      <alignment horizontal="center"/>
    </xf>
    <xf numFmtId="0" fontId="15" fillId="0" borderId="15" xfId="0" applyFont="1" applyFill="1" applyBorder="1"/>
    <xf numFmtId="0" fontId="0" fillId="7" borderId="0" xfId="0" applyFill="1"/>
    <xf numFmtId="0" fontId="16" fillId="0" borderId="15" xfId="0" applyFont="1" applyFill="1" applyBorder="1"/>
    <xf numFmtId="0" fontId="12" fillId="6" borderId="15" xfId="0" applyFont="1" applyFill="1" applyBorder="1"/>
    <xf numFmtId="0" fontId="9" fillId="0" borderId="15" xfId="0" applyFont="1" applyFill="1" applyBorder="1"/>
    <xf numFmtId="0" fontId="12" fillId="0" borderId="15" xfId="0" applyFont="1" applyFill="1" applyBorder="1"/>
    <xf numFmtId="0" fontId="15" fillId="6" borderId="15" xfId="0" applyFont="1" applyFill="1" applyBorder="1"/>
    <xf numFmtId="0" fontId="17" fillId="0" borderId="15" xfId="0" applyFont="1" applyFill="1" applyBorder="1"/>
    <xf numFmtId="0" fontId="18" fillId="0" borderId="0" xfId="0" applyFont="1" applyFill="1" applyAlignment="1">
      <alignment horizontal="center" vertical="center" wrapText="1"/>
    </xf>
    <xf numFmtId="0" fontId="19" fillId="0" borderId="0" xfId="0" applyFont="1" applyFill="1" applyBorder="1"/>
    <xf numFmtId="0" fontId="19" fillId="0" borderId="0" xfId="0" applyFont="1" applyFill="1" applyAlignment="1">
      <alignment horizontal="center"/>
    </xf>
    <xf numFmtId="164" fontId="0" fillId="0" borderId="0" xfId="0" applyNumberFormat="1" applyFont="1" applyFill="1"/>
    <xf numFmtId="0" fontId="0" fillId="0" borderId="0" xfId="0" applyFont="1" applyFill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20" fillId="0" borderId="0" xfId="0" applyFont="1" applyAlignment="1">
      <alignment horizontal="right"/>
    </xf>
    <xf numFmtId="0" fontId="7" fillId="0" borderId="0" xfId="0" applyFont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Continuous" vertical="center" wrapText="1"/>
    </xf>
    <xf numFmtId="0" fontId="13" fillId="0" borderId="15" xfId="0" applyFont="1" applyBorder="1" applyAlignment="1">
      <alignment horizontal="centerContinuous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25" fillId="0" borderId="0" xfId="0" applyFont="1"/>
    <xf numFmtId="0" fontId="26" fillId="0" borderId="0" xfId="0" applyFont="1" applyAlignment="1">
      <alignment horizontal="center" wrapText="1"/>
    </xf>
    <xf numFmtId="0" fontId="25" fillId="0" borderId="0" xfId="0" applyFont="1" applyBorder="1"/>
    <xf numFmtId="0" fontId="0" fillId="0" borderId="0" xfId="0" applyBorder="1"/>
    <xf numFmtId="0" fontId="27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wrapText="1"/>
    </xf>
    <xf numFmtId="0" fontId="27" fillId="0" borderId="15" xfId="0" applyFont="1" applyBorder="1" applyAlignment="1">
      <alignment horizontal="center" wrapText="1"/>
    </xf>
    <xf numFmtId="165" fontId="27" fillId="0" borderId="15" xfId="0" applyNumberFormat="1" applyFont="1" applyBorder="1" applyAlignment="1">
      <alignment horizontal="center" wrapText="1"/>
    </xf>
    <xf numFmtId="9" fontId="27" fillId="0" borderId="15" xfId="0" applyNumberFormat="1" applyFont="1" applyBorder="1" applyAlignment="1">
      <alignment horizontal="center" wrapText="1"/>
    </xf>
    <xf numFmtId="0" fontId="27" fillId="0" borderId="0" xfId="0" applyFont="1" applyBorder="1" applyAlignment="1">
      <alignment horizontal="center" wrapText="1"/>
    </xf>
    <xf numFmtId="165" fontId="27" fillId="0" borderId="0" xfId="0" applyNumberFormat="1" applyFont="1" applyBorder="1" applyAlignment="1">
      <alignment horizontal="center" wrapText="1"/>
    </xf>
    <xf numFmtId="9" fontId="27" fillId="0" borderId="0" xfId="0" applyNumberFormat="1" applyFont="1" applyBorder="1" applyAlignment="1">
      <alignment horizontal="center" wrapText="1"/>
    </xf>
    <xf numFmtId="0" fontId="27" fillId="0" borderId="15" xfId="0" applyFont="1" applyBorder="1" applyAlignment="1">
      <alignment wrapText="1"/>
    </xf>
    <xf numFmtId="0" fontId="27" fillId="0" borderId="0" xfId="0" applyFont="1" applyBorder="1" applyAlignment="1">
      <alignment wrapText="1"/>
    </xf>
    <xf numFmtId="0" fontId="29" fillId="0" borderId="6" xfId="0" applyFont="1" applyBorder="1"/>
    <xf numFmtId="0" fontId="29" fillId="0" borderId="15" xfId="0" applyFont="1" applyBorder="1"/>
    <xf numFmtId="0" fontId="29" fillId="0" borderId="0" xfId="0" applyFont="1" applyBorder="1"/>
    <xf numFmtId="0" fontId="25" fillId="0" borderId="6" xfId="0" applyFont="1" applyBorder="1"/>
    <xf numFmtId="0" fontId="25" fillId="0" borderId="15" xfId="0" applyFont="1" applyBorder="1"/>
    <xf numFmtId="166" fontId="25" fillId="0" borderId="15" xfId="0" applyNumberFormat="1" applyFont="1" applyBorder="1"/>
    <xf numFmtId="166" fontId="25" fillId="0" borderId="0" xfId="0" applyNumberFormat="1" applyFont="1" applyBorder="1"/>
    <xf numFmtId="0" fontId="25" fillId="0" borderId="6" xfId="0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28" fillId="0" borderId="0" xfId="0" applyFont="1" applyAlignment="1">
      <alignment wrapText="1"/>
    </xf>
    <xf numFmtId="0" fontId="27" fillId="0" borderId="0" xfId="0" applyFont="1" applyAlignment="1">
      <alignment wrapText="1"/>
    </xf>
    <xf numFmtId="164" fontId="4" fillId="0" borderId="0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5" fillId="6" borderId="0" xfId="0" applyFont="1" applyFill="1" applyBorder="1" applyAlignment="1">
      <alignment horizontal="center" vertical="top" wrapText="1"/>
    </xf>
    <xf numFmtId="0" fontId="4" fillId="6" borderId="0" xfId="0" applyFont="1" applyFill="1" applyBorder="1" applyAlignment="1">
      <alignment horizontal="center" vertical="center"/>
    </xf>
    <xf numFmtId="0" fontId="6" fillId="6" borderId="0" xfId="0" applyFont="1" applyFill="1" applyBorder="1" applyAlignment="1">
      <alignment horizontal="center"/>
    </xf>
    <xf numFmtId="0" fontId="4" fillId="6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 vertical="top" wrapText="1"/>
    </xf>
    <xf numFmtId="2" fontId="4" fillId="2" borderId="0" xfId="0" applyNumberFormat="1" applyFont="1" applyFill="1" applyBorder="1" applyAlignment="1">
      <alignment horizontal="center" vertical="center"/>
    </xf>
    <xf numFmtId="164" fontId="4" fillId="0" borderId="0" xfId="0" applyNumberFormat="1" applyFont="1"/>
    <xf numFmtId="0" fontId="13" fillId="0" borderId="3" xfId="0" applyFont="1" applyBorder="1" applyAlignment="1">
      <alignment horizontal="center" vertical="center" wrapText="1"/>
    </xf>
    <xf numFmtId="0" fontId="13" fillId="0" borderId="15" xfId="0" applyNumberFormat="1" applyFont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top" wrapText="1"/>
    </xf>
    <xf numFmtId="164" fontId="4" fillId="4" borderId="0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5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0" fontId="12" fillId="0" borderId="0" xfId="0" applyFont="1" applyBorder="1" applyAlignment="1">
      <alignment horizontal="center" vertical="center" wrapText="1"/>
    </xf>
    <xf numFmtId="164" fontId="4" fillId="5" borderId="0" xfId="0" applyNumberFormat="1" applyFont="1" applyFill="1" applyBorder="1" applyAlignment="1">
      <alignment horizontal="center" vertical="center"/>
    </xf>
    <xf numFmtId="0" fontId="5" fillId="8" borderId="0" xfId="0" applyFont="1" applyFill="1" applyBorder="1" applyAlignment="1">
      <alignment horizontal="center" vertical="top" wrapText="1"/>
    </xf>
    <xf numFmtId="166" fontId="5" fillId="0" borderId="0" xfId="0" applyNumberFormat="1" applyFont="1" applyFill="1" applyBorder="1" applyAlignment="1">
      <alignment horizontal="center" vertical="top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164" fontId="4" fillId="4" borderId="15" xfId="0" applyNumberFormat="1" applyFont="1" applyFill="1" applyBorder="1" applyAlignment="1">
      <alignment horizontal="center" vertical="center"/>
    </xf>
    <xf numFmtId="164" fontId="4" fillId="5" borderId="15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top" wrapText="1"/>
    </xf>
    <xf numFmtId="0" fontId="2" fillId="0" borderId="15" xfId="0" applyFont="1" applyBorder="1"/>
    <xf numFmtId="0" fontId="5" fillId="8" borderId="15" xfId="0" applyFont="1" applyFill="1" applyBorder="1" applyAlignment="1">
      <alignment horizontal="center" vertical="top" wrapText="1"/>
    </xf>
    <xf numFmtId="0" fontId="33" fillId="0" borderId="3" xfId="0" applyFont="1" applyBorder="1" applyAlignment="1">
      <alignment horizontal="left" vertical="center" wrapText="1"/>
    </xf>
    <xf numFmtId="0" fontId="33" fillId="0" borderId="3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4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Continuous" vertical="center" wrapText="1"/>
    </xf>
    <xf numFmtId="0" fontId="5" fillId="0" borderId="15" xfId="0" applyFont="1" applyBorder="1" applyAlignment="1">
      <alignment horizontal="centerContinuous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 wrapText="1"/>
    </xf>
    <xf numFmtId="0" fontId="2" fillId="0" borderId="3" xfId="0" applyFont="1" applyBorder="1"/>
    <xf numFmtId="0" fontId="5" fillId="0" borderId="3" xfId="0" applyNumberFormat="1" applyFont="1" applyFill="1" applyBorder="1" applyAlignment="1">
      <alignment horizontal="center" vertical="top" wrapText="1"/>
    </xf>
    <xf numFmtId="0" fontId="5" fillId="2" borderId="15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9" borderId="0" xfId="0" applyFont="1" applyFill="1" applyBorder="1" applyAlignment="1">
      <alignment horizontal="center" vertical="top" wrapText="1"/>
    </xf>
    <xf numFmtId="0" fontId="4" fillId="9" borderId="0" xfId="0" applyFont="1" applyFill="1" applyBorder="1" applyAlignment="1">
      <alignment horizontal="center" vertical="center"/>
    </xf>
    <xf numFmtId="0" fontId="3" fillId="8" borderId="0" xfId="0" applyFont="1" applyFill="1" applyBorder="1" applyAlignment="1">
      <alignment horizontal="center" vertical="center"/>
    </xf>
    <xf numFmtId="0" fontId="4" fillId="8" borderId="0" xfId="0" applyFont="1" applyFill="1" applyBorder="1" applyAlignment="1">
      <alignment horizontal="center" vertical="center"/>
    </xf>
    <xf numFmtId="0" fontId="5" fillId="8" borderId="0" xfId="0" applyFont="1" applyFill="1" applyBorder="1" applyAlignment="1">
      <alignment horizontal="center" vertical="center"/>
    </xf>
    <xf numFmtId="164" fontId="5" fillId="8" borderId="0" xfId="0" applyNumberFormat="1" applyFont="1" applyFill="1" applyAlignment="1">
      <alignment horizontal="center" vertical="top" wrapText="1"/>
    </xf>
    <xf numFmtId="0" fontId="4" fillId="8" borderId="0" xfId="0" applyFont="1" applyFill="1" applyBorder="1" applyAlignment="1">
      <alignment horizontal="center"/>
    </xf>
    <xf numFmtId="0" fontId="4" fillId="8" borderId="0" xfId="0" applyFont="1" applyFill="1"/>
    <xf numFmtId="164" fontId="4" fillId="8" borderId="0" xfId="0" applyNumberFormat="1" applyFont="1" applyFill="1"/>
    <xf numFmtId="0" fontId="35" fillId="0" borderId="0" xfId="0" applyFont="1" applyFill="1" applyBorder="1" applyAlignment="1">
      <alignment horizontal="center" vertical="top" wrapText="1"/>
    </xf>
    <xf numFmtId="0" fontId="36" fillId="2" borderId="0" xfId="0" applyFont="1" applyFill="1" applyBorder="1" applyAlignment="1">
      <alignment horizontal="center" vertical="center"/>
    </xf>
    <xf numFmtId="0" fontId="36" fillId="4" borderId="0" xfId="0" applyFont="1" applyFill="1" applyBorder="1" applyAlignment="1">
      <alignment horizontal="center" vertical="center"/>
    </xf>
    <xf numFmtId="0" fontId="36" fillId="5" borderId="0" xfId="0" applyFont="1" applyFill="1" applyBorder="1" applyAlignment="1">
      <alignment horizontal="center" vertical="center"/>
    </xf>
    <xf numFmtId="0" fontId="36" fillId="3" borderId="0" xfId="0" applyFont="1" applyFill="1" applyBorder="1" applyAlignment="1">
      <alignment horizontal="center" vertical="center"/>
    </xf>
    <xf numFmtId="0" fontId="36" fillId="8" borderId="0" xfId="0" applyFont="1" applyFill="1" applyBorder="1" applyAlignment="1">
      <alignment horizontal="center" vertical="center"/>
    </xf>
    <xf numFmtId="0" fontId="35" fillId="0" borderId="0" xfId="0" applyFont="1" applyAlignment="1">
      <alignment horizontal="center" vertical="top" wrapText="1"/>
    </xf>
    <xf numFmtId="0" fontId="35" fillId="6" borderId="0" xfId="0" applyFont="1" applyFill="1" applyBorder="1" applyAlignment="1">
      <alignment horizontal="center" vertical="top" wrapText="1"/>
    </xf>
    <xf numFmtId="0" fontId="36" fillId="6" borderId="0" xfId="0" applyFont="1" applyFill="1" applyBorder="1" applyAlignment="1">
      <alignment horizontal="center" vertical="center"/>
    </xf>
    <xf numFmtId="0" fontId="35" fillId="9" borderId="0" xfId="0" applyFont="1" applyFill="1" applyBorder="1" applyAlignment="1">
      <alignment horizontal="center" vertical="top" wrapText="1"/>
    </xf>
    <xf numFmtId="0" fontId="36" fillId="9" borderId="0" xfId="0" applyFont="1" applyFill="1" applyBorder="1" applyAlignment="1">
      <alignment horizontal="center" vertical="center"/>
    </xf>
    <xf numFmtId="166" fontId="35" fillId="0" borderId="0" xfId="0" applyNumberFormat="1" applyFont="1" applyFill="1" applyBorder="1" applyAlignment="1">
      <alignment horizontal="center" vertical="top" wrapText="1"/>
    </xf>
    <xf numFmtId="0" fontId="35" fillId="0" borderId="0" xfId="0" applyFont="1" applyBorder="1" applyAlignment="1">
      <alignment horizontal="justify" vertical="center" wrapText="1"/>
    </xf>
    <xf numFmtId="0" fontId="35" fillId="0" borderId="0" xfId="0" applyFont="1" applyBorder="1" applyAlignment="1">
      <alignment horizontal="center" vertical="center" wrapText="1"/>
    </xf>
    <xf numFmtId="0" fontId="35" fillId="0" borderId="0" xfId="0" applyNumberFormat="1" applyFont="1" applyFill="1" applyBorder="1" applyAlignment="1">
      <alignment horizontal="center" vertical="top" wrapText="1"/>
    </xf>
    <xf numFmtId="0" fontId="35" fillId="2" borderId="0" xfId="0" applyFont="1" applyFill="1" applyBorder="1" applyAlignment="1">
      <alignment horizontal="center" vertical="center"/>
    </xf>
    <xf numFmtId="0" fontId="35" fillId="4" borderId="0" xfId="0" applyFont="1" applyFill="1" applyBorder="1" applyAlignment="1">
      <alignment horizontal="center" vertical="center"/>
    </xf>
    <xf numFmtId="0" fontId="35" fillId="5" borderId="0" xfId="0" applyFont="1" applyFill="1" applyBorder="1" applyAlignment="1">
      <alignment horizontal="center" vertical="center"/>
    </xf>
    <xf numFmtId="0" fontId="35" fillId="3" borderId="0" xfId="0" applyFont="1" applyFill="1" applyBorder="1" applyAlignment="1">
      <alignment horizontal="center" vertical="center"/>
    </xf>
    <xf numFmtId="0" fontId="35" fillId="8" borderId="0" xfId="0" applyFont="1" applyFill="1" applyBorder="1" applyAlignment="1">
      <alignment horizontal="center" vertical="center"/>
    </xf>
    <xf numFmtId="164" fontId="36" fillId="4" borderId="0" xfId="0" applyNumberFormat="1" applyFont="1" applyFill="1" applyBorder="1" applyAlignment="1">
      <alignment horizontal="center" vertical="center"/>
    </xf>
    <xf numFmtId="164" fontId="36" fillId="5" borderId="0" xfId="0" applyNumberFormat="1" applyFont="1" applyFill="1" applyBorder="1" applyAlignment="1">
      <alignment horizontal="center" vertical="center"/>
    </xf>
    <xf numFmtId="2" fontId="35" fillId="0" borderId="0" xfId="0" applyNumberFormat="1" applyFont="1" applyFill="1" applyBorder="1" applyAlignment="1">
      <alignment horizontal="center" vertical="top" wrapText="1"/>
    </xf>
    <xf numFmtId="0" fontId="35" fillId="8" borderId="0" xfId="0" applyFont="1" applyFill="1" applyBorder="1" applyAlignment="1">
      <alignment horizontal="center" vertical="top" wrapText="1"/>
    </xf>
    <xf numFmtId="2" fontId="36" fillId="2" borderId="0" xfId="0" applyNumberFormat="1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center" vertical="top"/>
    </xf>
    <xf numFmtId="0" fontId="4" fillId="8" borderId="3" xfId="0" applyFont="1" applyFill="1" applyBorder="1" applyAlignment="1">
      <alignment horizontal="center"/>
    </xf>
    <xf numFmtId="0" fontId="5" fillId="8" borderId="0" xfId="0" applyFont="1" applyFill="1" applyBorder="1" applyAlignment="1">
      <alignment horizontal="center"/>
    </xf>
    <xf numFmtId="0" fontId="33" fillId="0" borderId="17" xfId="0" applyFont="1" applyBorder="1" applyAlignment="1">
      <alignment horizontal="center" vertical="top" wrapText="1"/>
    </xf>
    <xf numFmtId="0" fontId="34" fillId="0" borderId="0" xfId="0" applyFont="1" applyAlignment="1">
      <alignment horizontal="center"/>
    </xf>
    <xf numFmtId="0" fontId="34" fillId="10" borderId="0" xfId="0" applyFont="1" applyFill="1"/>
    <xf numFmtId="0" fontId="34" fillId="10" borderId="0" xfId="0" applyFont="1" applyFill="1" applyAlignment="1">
      <alignment horizontal="right"/>
    </xf>
    <xf numFmtId="0" fontId="37" fillId="0" borderId="15" xfId="0" applyFont="1" applyBorder="1"/>
    <xf numFmtId="0" fontId="0" fillId="0" borderId="15" xfId="0" applyBorder="1"/>
    <xf numFmtId="0" fontId="33" fillId="0" borderId="15" xfId="0" applyFont="1" applyBorder="1" applyAlignment="1">
      <alignment horizontal="center" vertical="top"/>
    </xf>
    <xf numFmtId="0" fontId="33" fillId="0" borderId="15" xfId="0" applyFont="1" applyBorder="1" applyAlignment="1">
      <alignment horizontal="center" vertical="top" wrapText="1"/>
    </xf>
    <xf numFmtId="0" fontId="34" fillId="0" borderId="15" xfId="0" applyFont="1" applyBorder="1"/>
    <xf numFmtId="0" fontId="34" fillId="0" borderId="15" xfId="0" applyFont="1" applyBorder="1" applyAlignment="1">
      <alignment horizontal="center"/>
    </xf>
    <xf numFmtId="0" fontId="33" fillId="0" borderId="0" xfId="0" applyFont="1" applyBorder="1" applyAlignment="1">
      <alignment horizontal="center" vertical="top" wrapText="1"/>
    </xf>
    <xf numFmtId="0" fontId="34" fillId="0" borderId="0" xfId="0" applyFont="1" applyBorder="1"/>
    <xf numFmtId="0" fontId="34" fillId="0" borderId="0" xfId="0" applyFont="1" applyBorder="1" applyAlignment="1">
      <alignment horizontal="center"/>
    </xf>
    <xf numFmtId="0" fontId="34" fillId="0" borderId="6" xfId="0" applyFont="1" applyBorder="1" applyAlignment="1">
      <alignment horizontal="center"/>
    </xf>
    <xf numFmtId="0" fontId="34" fillId="0" borderId="12" xfId="0" applyFont="1" applyBorder="1"/>
    <xf numFmtId="0" fontId="34" fillId="0" borderId="15" xfId="0" applyFont="1" applyBorder="1" applyAlignment="1"/>
    <xf numFmtId="0" fontId="34" fillId="0" borderId="12" xfId="0" applyFont="1" applyBorder="1" applyAlignment="1"/>
    <xf numFmtId="0" fontId="34" fillId="0" borderId="12" xfId="0" applyFont="1" applyBorder="1" applyAlignment="1">
      <alignment horizontal="center"/>
    </xf>
    <xf numFmtId="0" fontId="34" fillId="0" borderId="6" xfId="0" applyFont="1" applyBorder="1"/>
    <xf numFmtId="0" fontId="34" fillId="0" borderId="14" xfId="0" applyFont="1" applyBorder="1"/>
    <xf numFmtId="0" fontId="34" fillId="0" borderId="14" xfId="0" applyFont="1" applyBorder="1" applyAlignment="1">
      <alignment horizontal="center"/>
    </xf>
    <xf numFmtId="0" fontId="34" fillId="0" borderId="2" xfId="0" applyFont="1" applyBorder="1"/>
    <xf numFmtId="2" fontId="2" fillId="0" borderId="0" xfId="0" applyNumberFormat="1" applyFont="1"/>
    <xf numFmtId="164" fontId="3" fillId="0" borderId="18" xfId="0" applyNumberFormat="1" applyFont="1" applyBorder="1" applyAlignment="1">
      <alignment horizontal="center" vertical="top" wrapText="1"/>
    </xf>
    <xf numFmtId="0" fontId="38" fillId="0" borderId="0" xfId="0" applyNumberFormat="1" applyFont="1" applyFill="1" applyBorder="1" applyAlignment="1">
      <alignment horizontal="center" vertical="top" wrapText="1"/>
    </xf>
    <xf numFmtId="0" fontId="39" fillId="2" borderId="0" xfId="0" applyFont="1" applyFill="1" applyBorder="1" applyAlignment="1">
      <alignment horizontal="center" vertical="center"/>
    </xf>
    <xf numFmtId="0" fontId="39" fillId="4" borderId="0" xfId="0" applyFont="1" applyFill="1" applyBorder="1" applyAlignment="1">
      <alignment horizontal="center" vertical="center"/>
    </xf>
    <xf numFmtId="0" fontId="39" fillId="5" borderId="0" xfId="0" applyFont="1" applyFill="1" applyBorder="1" applyAlignment="1">
      <alignment horizontal="center" vertical="center"/>
    </xf>
    <xf numFmtId="0" fontId="39" fillId="3" borderId="0" xfId="0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center"/>
    </xf>
    <xf numFmtId="0" fontId="39" fillId="0" borderId="0" xfId="0" applyNumberFormat="1" applyFont="1" applyFill="1" applyBorder="1" applyAlignment="1">
      <alignment horizontal="center"/>
    </xf>
    <xf numFmtId="0" fontId="39" fillId="0" borderId="3" xfId="0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/>
    </xf>
    <xf numFmtId="0" fontId="4" fillId="8" borderId="15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/>
    </xf>
    <xf numFmtId="0" fontId="4" fillId="8" borderId="15" xfId="0" applyFont="1" applyFill="1" applyBorder="1" applyAlignment="1">
      <alignment horizontal="center"/>
    </xf>
    <xf numFmtId="0" fontId="39" fillId="8" borderId="15" xfId="0" applyFont="1" applyFill="1" applyBorder="1" applyAlignment="1">
      <alignment horizontal="center"/>
    </xf>
    <xf numFmtId="0" fontId="5" fillId="8" borderId="15" xfId="0" applyFont="1" applyFill="1" applyBorder="1" applyAlignment="1">
      <alignment horizontal="justify" vertical="center" wrapText="1"/>
    </xf>
    <xf numFmtId="0" fontId="5" fillId="8" borderId="15" xfId="0" applyFont="1" applyFill="1" applyBorder="1" applyAlignment="1">
      <alignment horizontal="center" vertical="center" wrapText="1"/>
    </xf>
    <xf numFmtId="0" fontId="4" fillId="8" borderId="15" xfId="0" applyNumberFormat="1" applyFont="1" applyFill="1" applyBorder="1" applyAlignment="1">
      <alignment horizontal="center"/>
    </xf>
    <xf numFmtId="0" fontId="5" fillId="8" borderId="15" xfId="0" applyFont="1" applyFill="1" applyBorder="1" applyAlignment="1">
      <alignment horizontal="center" vertical="center"/>
    </xf>
    <xf numFmtId="0" fontId="5" fillId="8" borderId="15" xfId="0" applyFont="1" applyFill="1" applyBorder="1" applyAlignment="1">
      <alignment horizontal="center"/>
    </xf>
    <xf numFmtId="0" fontId="5" fillId="8" borderId="15" xfId="0" applyNumberFormat="1" applyFont="1" applyFill="1" applyBorder="1" applyAlignment="1">
      <alignment horizontal="center"/>
    </xf>
    <xf numFmtId="0" fontId="39" fillId="8" borderId="15" xfId="0" applyNumberFormat="1" applyFont="1" applyFill="1" applyBorder="1" applyAlignment="1">
      <alignment horizontal="center"/>
    </xf>
    <xf numFmtId="0" fontId="4" fillId="12" borderId="15" xfId="0" applyFont="1" applyFill="1" applyBorder="1" applyAlignment="1">
      <alignment horizontal="center" vertical="center"/>
    </xf>
    <xf numFmtId="0" fontId="5" fillId="12" borderId="15" xfId="0" applyFont="1" applyFill="1" applyBorder="1" applyAlignment="1">
      <alignment horizontal="center" vertical="center"/>
    </xf>
    <xf numFmtId="2" fontId="4" fillId="12" borderId="15" xfId="0" applyNumberFormat="1" applyFont="1" applyFill="1" applyBorder="1" applyAlignment="1">
      <alignment horizontal="center" vertical="center"/>
    </xf>
    <xf numFmtId="0" fontId="39" fillId="12" borderId="15" xfId="0" applyFont="1" applyFill="1" applyBorder="1" applyAlignment="1">
      <alignment horizontal="center" vertical="center"/>
    </xf>
    <xf numFmtId="164" fontId="4" fillId="3" borderId="15" xfId="0" applyNumberFormat="1" applyFont="1" applyFill="1" applyBorder="1" applyAlignment="1">
      <alignment horizontal="center" vertical="center"/>
    </xf>
    <xf numFmtId="0" fontId="39" fillId="3" borderId="15" xfId="0" applyFont="1" applyFill="1" applyBorder="1" applyAlignment="1">
      <alignment horizontal="center" vertical="center"/>
    </xf>
    <xf numFmtId="0" fontId="4" fillId="11" borderId="15" xfId="0" applyFont="1" applyFill="1" applyBorder="1" applyAlignment="1">
      <alignment horizontal="center" vertical="center"/>
    </xf>
    <xf numFmtId="0" fontId="5" fillId="11" borderId="15" xfId="0" applyFont="1" applyFill="1" applyBorder="1" applyAlignment="1">
      <alignment horizontal="center" vertical="center"/>
    </xf>
    <xf numFmtId="164" fontId="4" fillId="11" borderId="15" xfId="0" applyNumberFormat="1" applyFont="1" applyFill="1" applyBorder="1" applyAlignment="1">
      <alignment horizontal="center" vertical="center"/>
    </xf>
    <xf numFmtId="0" fontId="39" fillId="11" borderId="15" xfId="0" applyFont="1" applyFill="1" applyBorder="1" applyAlignment="1">
      <alignment horizontal="center" vertical="center"/>
    </xf>
    <xf numFmtId="0" fontId="39" fillId="5" borderId="15" xfId="0" applyFont="1" applyFill="1" applyBorder="1" applyAlignment="1">
      <alignment horizontal="center" vertical="center"/>
    </xf>
    <xf numFmtId="0" fontId="5" fillId="13" borderId="15" xfId="0" applyFont="1" applyFill="1" applyBorder="1" applyAlignment="1">
      <alignment horizontal="center" vertical="top" wrapText="1"/>
    </xf>
    <xf numFmtId="166" fontId="5" fillId="13" borderId="15" xfId="0" applyNumberFormat="1" applyFont="1" applyFill="1" applyBorder="1" applyAlignment="1">
      <alignment horizontal="center" vertical="top" wrapText="1"/>
    </xf>
    <xf numFmtId="0" fontId="5" fillId="13" borderId="15" xfId="0" applyNumberFormat="1" applyFont="1" applyFill="1" applyBorder="1" applyAlignment="1">
      <alignment horizontal="center" vertical="top" wrapText="1"/>
    </xf>
    <xf numFmtId="2" fontId="5" fillId="13" borderId="15" xfId="0" applyNumberFormat="1" applyFont="1" applyFill="1" applyBorder="1" applyAlignment="1">
      <alignment horizontal="center" vertical="top" wrapText="1"/>
    </xf>
    <xf numFmtId="0" fontId="38" fillId="13" borderId="15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/>
    </xf>
    <xf numFmtId="0" fontId="41" fillId="8" borderId="0" xfId="0" applyFont="1" applyFill="1"/>
    <xf numFmtId="0" fontId="42" fillId="8" borderId="0" xfId="0" applyFont="1" applyFill="1" applyAlignment="1">
      <alignment horizontal="center"/>
    </xf>
    <xf numFmtId="0" fontId="43" fillId="8" borderId="0" xfId="0" applyFont="1" applyFill="1"/>
    <xf numFmtId="0" fontId="44" fillId="8" borderId="0" xfId="0" applyFont="1" applyFill="1" applyAlignment="1">
      <alignment horizontal="center" wrapText="1"/>
    </xf>
    <xf numFmtId="0" fontId="43" fillId="8" borderId="0" xfId="0" applyFont="1" applyFill="1" applyBorder="1"/>
    <xf numFmtId="0" fontId="41" fillId="8" borderId="0" xfId="0" applyFont="1" applyFill="1" applyBorder="1"/>
    <xf numFmtId="0" fontId="43" fillId="8" borderId="0" xfId="0" applyFont="1" applyFill="1" applyBorder="1" applyAlignment="1">
      <alignment horizontal="center" vertical="center" wrapText="1"/>
    </xf>
    <xf numFmtId="0" fontId="43" fillId="8" borderId="0" xfId="0" applyFont="1" applyFill="1" applyBorder="1" applyAlignment="1">
      <alignment wrapText="1"/>
    </xf>
    <xf numFmtId="0" fontId="43" fillId="8" borderId="15" xfId="0" applyFont="1" applyFill="1" applyBorder="1" applyAlignment="1">
      <alignment horizontal="center" wrapText="1"/>
    </xf>
    <xf numFmtId="165" fontId="43" fillId="8" borderId="15" xfId="0" applyNumberFormat="1" applyFont="1" applyFill="1" applyBorder="1" applyAlignment="1">
      <alignment horizontal="center" wrapText="1"/>
    </xf>
    <xf numFmtId="9" fontId="43" fillId="8" borderId="15" xfId="0" applyNumberFormat="1" applyFont="1" applyFill="1" applyBorder="1" applyAlignment="1">
      <alignment horizontal="center" wrapText="1"/>
    </xf>
    <xf numFmtId="0" fontId="43" fillId="8" borderId="0" xfId="0" applyFont="1" applyFill="1" applyBorder="1" applyAlignment="1">
      <alignment horizontal="center" wrapText="1"/>
    </xf>
    <xf numFmtId="165" fontId="43" fillId="8" borderId="0" xfId="0" applyNumberFormat="1" applyFont="1" applyFill="1" applyBorder="1" applyAlignment="1">
      <alignment horizontal="center" wrapText="1"/>
    </xf>
    <xf numFmtId="9" fontId="43" fillId="8" borderId="0" xfId="0" applyNumberFormat="1" applyFont="1" applyFill="1" applyBorder="1" applyAlignment="1">
      <alignment horizontal="center" wrapText="1"/>
    </xf>
    <xf numFmtId="0" fontId="43" fillId="8" borderId="15" xfId="0" applyFont="1" applyFill="1" applyBorder="1" applyAlignment="1">
      <alignment wrapText="1"/>
    </xf>
    <xf numFmtId="0" fontId="43" fillId="8" borderId="6" xfId="0" applyFont="1" applyFill="1" applyBorder="1"/>
    <xf numFmtId="0" fontId="43" fillId="8" borderId="15" xfId="0" applyFont="1" applyFill="1" applyBorder="1"/>
    <xf numFmtId="166" fontId="43" fillId="8" borderId="15" xfId="0" applyNumberFormat="1" applyFont="1" applyFill="1" applyBorder="1"/>
    <xf numFmtId="166" fontId="43" fillId="8" borderId="0" xfId="0" applyNumberFormat="1" applyFont="1" applyFill="1" applyBorder="1"/>
    <xf numFmtId="0" fontId="43" fillId="8" borderId="6" xfId="0" applyFont="1" applyFill="1" applyBorder="1" applyAlignment="1">
      <alignment horizontal="left" wrapText="1"/>
    </xf>
    <xf numFmtId="0" fontId="43" fillId="8" borderId="0" xfId="0" applyFont="1" applyFill="1" applyBorder="1" applyAlignment="1">
      <alignment horizontal="left" wrapText="1"/>
    </xf>
    <xf numFmtId="2" fontId="43" fillId="8" borderId="15" xfId="0" applyNumberFormat="1" applyFont="1" applyFill="1" applyBorder="1"/>
    <xf numFmtId="164" fontId="43" fillId="8" borderId="15" xfId="0" applyNumberFormat="1" applyFont="1" applyFill="1" applyBorder="1"/>
    <xf numFmtId="0" fontId="45" fillId="8" borderId="0" xfId="0" applyFont="1" applyFill="1" applyAlignment="1">
      <alignment wrapText="1"/>
    </xf>
    <xf numFmtId="0" fontId="43" fillId="8" borderId="0" xfId="0" applyFont="1" applyFill="1" applyAlignment="1">
      <alignment wrapText="1"/>
    </xf>
    <xf numFmtId="0" fontId="4" fillId="0" borderId="15" xfId="0" applyFont="1" applyFill="1" applyBorder="1" applyAlignment="1">
      <alignment horizontal="center"/>
    </xf>
    <xf numFmtId="0" fontId="4" fillId="0" borderId="15" xfId="0" applyNumberFormat="1" applyFont="1" applyFill="1" applyBorder="1" applyAlignment="1">
      <alignment horizontal="center"/>
    </xf>
    <xf numFmtId="0" fontId="46" fillId="13" borderId="15" xfId="0" applyNumberFormat="1" applyFont="1" applyFill="1" applyBorder="1" applyAlignment="1">
      <alignment horizontal="center" vertical="top" wrapText="1"/>
    </xf>
    <xf numFmtId="0" fontId="47" fillId="3" borderId="15" xfId="0" applyFont="1" applyFill="1" applyBorder="1" applyAlignment="1">
      <alignment horizontal="center" vertical="center"/>
    </xf>
    <xf numFmtId="0" fontId="47" fillId="11" borderId="15" xfId="0" applyFont="1" applyFill="1" applyBorder="1" applyAlignment="1">
      <alignment horizontal="center" vertical="center"/>
    </xf>
    <xf numFmtId="0" fontId="47" fillId="5" borderId="15" xfId="0" applyFont="1" applyFill="1" applyBorder="1" applyAlignment="1">
      <alignment horizontal="center" vertical="center"/>
    </xf>
    <xf numFmtId="0" fontId="47" fillId="0" borderId="15" xfId="0" applyFont="1" applyFill="1" applyBorder="1" applyAlignment="1">
      <alignment horizontal="center"/>
    </xf>
    <xf numFmtId="0" fontId="47" fillId="0" borderId="15" xfId="0" applyNumberFormat="1" applyFont="1" applyFill="1" applyBorder="1" applyAlignment="1">
      <alignment horizontal="center"/>
    </xf>
    <xf numFmtId="2" fontId="4" fillId="3" borderId="15" xfId="0" applyNumberFormat="1" applyFont="1" applyFill="1" applyBorder="1" applyAlignment="1">
      <alignment horizontal="center" vertical="center"/>
    </xf>
    <xf numFmtId="2" fontId="39" fillId="3" borderId="15" xfId="0" applyNumberFormat="1" applyFont="1" applyFill="1" applyBorder="1" applyAlignment="1">
      <alignment horizontal="center" vertical="center"/>
    </xf>
    <xf numFmtId="0" fontId="48" fillId="11" borderId="15" xfId="0" applyFont="1" applyFill="1" applyBorder="1" applyAlignment="1">
      <alignment horizontal="center" vertical="center"/>
    </xf>
    <xf numFmtId="0" fontId="30" fillId="8" borderId="15" xfId="0" applyFont="1" applyFill="1" applyBorder="1" applyAlignment="1">
      <alignment horizontal="center" vertical="center"/>
    </xf>
    <xf numFmtId="0" fontId="31" fillId="8" borderId="15" xfId="0" applyFont="1" applyFill="1" applyBorder="1" applyAlignment="1">
      <alignment horizontal="center" vertical="top" wrapText="1"/>
    </xf>
    <xf numFmtId="0" fontId="30" fillId="8" borderId="15" xfId="0" applyFont="1" applyFill="1" applyBorder="1" applyAlignment="1">
      <alignment horizontal="center"/>
    </xf>
    <xf numFmtId="0" fontId="32" fillId="8" borderId="15" xfId="0" applyFont="1" applyFill="1" applyBorder="1" applyAlignment="1">
      <alignment horizontal="center"/>
    </xf>
    <xf numFmtId="49" fontId="32" fillId="8" borderId="15" xfId="0" applyNumberFormat="1" applyFont="1" applyFill="1" applyBorder="1" applyAlignment="1">
      <alignment horizontal="center"/>
    </xf>
    <xf numFmtId="0" fontId="31" fillId="8" borderId="15" xfId="0" applyFont="1" applyFill="1" applyBorder="1" applyAlignment="1">
      <alignment horizontal="justify" vertical="center" wrapText="1"/>
    </xf>
    <xf numFmtId="0" fontId="31" fillId="8" borderId="15" xfId="0" applyFont="1" applyFill="1" applyBorder="1" applyAlignment="1">
      <alignment horizontal="center" vertical="center" wrapText="1"/>
    </xf>
    <xf numFmtId="0" fontId="30" fillId="8" borderId="15" xfId="0" applyNumberFormat="1" applyFont="1" applyFill="1" applyBorder="1" applyAlignment="1">
      <alignment horizontal="center"/>
    </xf>
    <xf numFmtId="0" fontId="31" fillId="8" borderId="15" xfId="0" applyNumberFormat="1" applyFont="1" applyFill="1" applyBorder="1" applyAlignment="1">
      <alignment horizontal="center" vertical="top" wrapText="1"/>
    </xf>
    <xf numFmtId="164" fontId="30" fillId="8" borderId="15" xfId="0" applyNumberFormat="1" applyFont="1" applyFill="1" applyBorder="1" applyAlignment="1">
      <alignment horizontal="center" vertical="center"/>
    </xf>
    <xf numFmtId="0" fontId="49" fillId="0" borderId="15" xfId="0" applyFont="1" applyFill="1" applyBorder="1" applyAlignment="1">
      <alignment horizontal="center"/>
    </xf>
    <xf numFmtId="0" fontId="49" fillId="0" borderId="14" xfId="0" applyFont="1" applyFill="1" applyBorder="1" applyAlignment="1">
      <alignment horizontal="center"/>
    </xf>
    <xf numFmtId="0" fontId="49" fillId="0" borderId="3" xfId="0" applyFont="1" applyFill="1" applyBorder="1" applyAlignment="1">
      <alignment horizontal="center"/>
    </xf>
    <xf numFmtId="0" fontId="50" fillId="0" borderId="0" xfId="0" applyFont="1" applyFill="1" applyBorder="1" applyAlignment="1">
      <alignment horizontal="center" vertical="center"/>
    </xf>
    <xf numFmtId="0" fontId="49" fillId="3" borderId="15" xfId="0" applyFont="1" applyFill="1" applyBorder="1" applyAlignment="1">
      <alignment horizontal="center"/>
    </xf>
    <xf numFmtId="0" fontId="4" fillId="14" borderId="15" xfId="0" applyFont="1" applyFill="1" applyBorder="1" applyAlignment="1">
      <alignment horizontal="center" vertical="center"/>
    </xf>
    <xf numFmtId="0" fontId="5" fillId="14" borderId="15" xfId="0" applyFont="1" applyFill="1" applyBorder="1" applyAlignment="1">
      <alignment horizontal="center" vertical="center"/>
    </xf>
    <xf numFmtId="0" fontId="47" fillId="14" borderId="15" xfId="0" applyFont="1" applyFill="1" applyBorder="1" applyAlignment="1">
      <alignment horizontal="center" vertical="center"/>
    </xf>
    <xf numFmtId="0" fontId="49" fillId="14" borderId="15" xfId="0" applyFont="1" applyFill="1" applyBorder="1" applyAlignment="1">
      <alignment horizontal="center"/>
    </xf>
    <xf numFmtId="2" fontId="4" fillId="14" borderId="15" xfId="0" applyNumberFormat="1" applyFont="1" applyFill="1" applyBorder="1" applyAlignment="1">
      <alignment horizontal="center" vertical="center"/>
    </xf>
    <xf numFmtId="0" fontId="39" fillId="14" borderId="15" xfId="0" applyFont="1" applyFill="1" applyBorder="1" applyAlignment="1">
      <alignment horizontal="center" vertical="center"/>
    </xf>
    <xf numFmtId="0" fontId="49" fillId="11" borderId="15" xfId="0" applyFont="1" applyFill="1" applyBorder="1" applyAlignment="1">
      <alignment horizontal="center"/>
    </xf>
    <xf numFmtId="0" fontId="3" fillId="8" borderId="15" xfId="0" applyFont="1" applyFill="1" applyBorder="1" applyAlignment="1">
      <alignment horizontal="center" vertical="top" wrapText="1"/>
    </xf>
    <xf numFmtId="0" fontId="37" fillId="14" borderId="15" xfId="0" applyFont="1" applyFill="1" applyBorder="1" applyAlignment="1">
      <alignment horizontal="center" vertical="center"/>
    </xf>
    <xf numFmtId="166" fontId="3" fillId="13" borderId="15" xfId="0" applyNumberFormat="1" applyFont="1" applyFill="1" applyBorder="1" applyAlignment="1">
      <alignment horizontal="center" vertical="top" wrapText="1"/>
    </xf>
    <xf numFmtId="164" fontId="5" fillId="13" borderId="15" xfId="0" applyNumberFormat="1" applyFont="1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/>
    </xf>
    <xf numFmtId="0" fontId="4" fillId="14" borderId="15" xfId="0" applyFont="1" applyFill="1" applyBorder="1" applyAlignment="1">
      <alignment horizontal="center"/>
    </xf>
    <xf numFmtId="0" fontId="4" fillId="3" borderId="15" xfId="0" applyFont="1" applyFill="1" applyBorder="1" applyAlignment="1">
      <alignment horizontal="center"/>
    </xf>
    <xf numFmtId="0" fontId="4" fillId="11" borderId="15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41" fillId="8" borderId="15" xfId="0" applyFont="1" applyFill="1" applyBorder="1" applyAlignment="1">
      <alignment horizontal="center"/>
    </xf>
    <xf numFmtId="0" fontId="43" fillId="8" borderId="0" xfId="0" applyFont="1" applyFill="1" applyBorder="1" applyAlignment="1">
      <alignment wrapText="1"/>
    </xf>
    <xf numFmtId="0" fontId="45" fillId="8" borderId="0" xfId="0" applyFont="1" applyFill="1" applyAlignment="1">
      <alignment wrapText="1"/>
    </xf>
    <xf numFmtId="0" fontId="43" fillId="8" borderId="0" xfId="0" applyFont="1" applyFill="1" applyAlignment="1">
      <alignment wrapText="1"/>
    </xf>
    <xf numFmtId="0" fontId="43" fillId="8" borderId="0" xfId="0" applyFont="1" applyFill="1" applyBorder="1" applyAlignment="1">
      <alignment horizontal="center" vertical="center" wrapText="1"/>
    </xf>
    <xf numFmtId="0" fontId="41" fillId="8" borderId="0" xfId="0" applyFont="1" applyFill="1" applyBorder="1" applyAlignment="1">
      <alignment horizontal="center" vertical="center" wrapText="1"/>
    </xf>
    <xf numFmtId="0" fontId="41" fillId="8" borderId="0" xfId="0" applyFont="1" applyFill="1" applyBorder="1" applyAlignment="1">
      <alignment wrapText="1"/>
    </xf>
    <xf numFmtId="0" fontId="45" fillId="8" borderId="0" xfId="0" applyFont="1" applyFill="1" applyBorder="1" applyAlignment="1">
      <alignment wrapText="1"/>
    </xf>
    <xf numFmtId="0" fontId="43" fillId="8" borderId="3" xfId="0" applyFont="1" applyFill="1" applyBorder="1" applyAlignment="1">
      <alignment wrapText="1"/>
    </xf>
    <xf numFmtId="0" fontId="43" fillId="8" borderId="14" xfId="0" applyFont="1" applyFill="1" applyBorder="1" applyAlignment="1">
      <alignment wrapText="1"/>
    </xf>
    <xf numFmtId="0" fontId="43" fillId="8" borderId="6" xfId="0" applyFont="1" applyFill="1" applyBorder="1" applyAlignment="1">
      <alignment wrapText="1"/>
    </xf>
    <xf numFmtId="0" fontId="41" fillId="8" borderId="12" xfId="0" applyFont="1" applyFill="1" applyBorder="1" applyAlignment="1">
      <alignment wrapText="1"/>
    </xf>
    <xf numFmtId="0" fontId="42" fillId="8" borderId="0" xfId="0" applyFont="1" applyFill="1" applyAlignment="1">
      <alignment horizontal="center"/>
    </xf>
    <xf numFmtId="0" fontId="42" fillId="8" borderId="0" xfId="0" applyFont="1" applyFill="1" applyAlignment="1">
      <alignment horizontal="center" wrapText="1"/>
    </xf>
    <xf numFmtId="0" fontId="44" fillId="8" borderId="0" xfId="0" applyFont="1" applyFill="1" applyAlignment="1">
      <alignment horizontal="center" wrapText="1"/>
    </xf>
    <xf numFmtId="0" fontId="43" fillId="8" borderId="3" xfId="0" applyFont="1" applyFill="1" applyBorder="1" applyAlignment="1">
      <alignment horizontal="center" vertical="center" wrapText="1"/>
    </xf>
    <xf numFmtId="0" fontId="43" fillId="8" borderId="9" xfId="0" applyFont="1" applyFill="1" applyBorder="1" applyAlignment="1">
      <alignment horizontal="center" vertical="center" wrapText="1"/>
    </xf>
    <xf numFmtId="0" fontId="41" fillId="8" borderId="14" xfId="0" applyFont="1" applyFill="1" applyBorder="1" applyAlignment="1">
      <alignment horizontal="center" vertical="center" wrapText="1"/>
    </xf>
    <xf numFmtId="0" fontId="43" fillId="8" borderId="7" xfId="0" applyFont="1" applyFill="1" applyBorder="1" applyAlignment="1">
      <alignment wrapText="1"/>
    </xf>
    <xf numFmtId="0" fontId="43" fillId="8" borderId="12" xfId="0" applyFont="1" applyFill="1" applyBorder="1" applyAlignment="1">
      <alignment wrapText="1"/>
    </xf>
    <xf numFmtId="0" fontId="43" fillId="8" borderId="1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27" fillId="0" borderId="0" xfId="0" applyFont="1" applyFill="1" applyBorder="1" applyAlignment="1">
      <alignment wrapText="1"/>
    </xf>
    <xf numFmtId="0" fontId="28" fillId="0" borderId="0" xfId="0" applyFont="1" applyAlignment="1">
      <alignment wrapText="1"/>
    </xf>
    <xf numFmtId="0" fontId="27" fillId="0" borderId="0" xfId="0" applyFont="1" applyAlignment="1">
      <alignment wrapText="1"/>
    </xf>
    <xf numFmtId="0" fontId="27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7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28" fillId="0" borderId="0" xfId="0" applyFont="1" applyBorder="1" applyAlignment="1">
      <alignment wrapText="1"/>
    </xf>
    <xf numFmtId="0" fontId="27" fillId="0" borderId="3" xfId="0" applyFont="1" applyBorder="1" applyAlignment="1">
      <alignment wrapText="1"/>
    </xf>
    <xf numFmtId="0" fontId="27" fillId="0" borderId="14" xfId="0" applyFont="1" applyBorder="1" applyAlignment="1">
      <alignment wrapText="1"/>
    </xf>
    <xf numFmtId="0" fontId="27" fillId="0" borderId="6" xfId="0" applyFont="1" applyBorder="1" applyAlignment="1">
      <alignment wrapText="1"/>
    </xf>
    <xf numFmtId="0" fontId="0" fillId="0" borderId="12" xfId="0" applyBorder="1" applyAlignment="1">
      <alignment wrapText="1"/>
    </xf>
    <xf numFmtId="0" fontId="24" fillId="0" borderId="0" xfId="0" applyFont="1" applyAlignment="1">
      <alignment horizontal="center"/>
    </xf>
    <xf numFmtId="0" fontId="24" fillId="0" borderId="0" xfId="0" applyFont="1" applyAlignment="1">
      <alignment horizontal="center" wrapText="1"/>
    </xf>
    <xf numFmtId="0" fontId="26" fillId="0" borderId="0" xfId="0" applyFont="1" applyAlignment="1">
      <alignment horizontal="center" wrapText="1"/>
    </xf>
    <xf numFmtId="0" fontId="27" fillId="0" borderId="3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7" fillId="0" borderId="7" xfId="0" applyFont="1" applyBorder="1" applyAlignment="1">
      <alignment wrapText="1"/>
    </xf>
    <xf numFmtId="0" fontId="27" fillId="0" borderId="12" xfId="0" applyFont="1" applyBorder="1" applyAlignment="1">
      <alignment wrapText="1"/>
    </xf>
    <xf numFmtId="0" fontId="28" fillId="0" borderId="6" xfId="0" applyFont="1" applyBorder="1" applyAlignment="1">
      <alignment wrapText="1"/>
    </xf>
    <xf numFmtId="0" fontId="28" fillId="0" borderId="12" xfId="0" applyFont="1" applyBorder="1" applyAlignment="1">
      <alignment wrapText="1"/>
    </xf>
    <xf numFmtId="0" fontId="27" fillId="0" borderId="14" xfId="0" applyFont="1" applyBorder="1" applyAlignment="1">
      <alignment horizontal="center" vertical="center" wrapText="1"/>
    </xf>
    <xf numFmtId="0" fontId="37" fillId="0" borderId="15" xfId="0" applyFont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37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numFmt numFmtId="0" formatCode="General"/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numFmt numFmtId="0" formatCode="General"/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solid">
          <fgColor indexed="64"/>
          <bgColor theme="0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solid">
          <fgColor indexed="64"/>
          <bgColor theme="0" tint="-0.3499862666707357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solid">
          <fgColor indexed="64"/>
          <bgColor theme="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scheme val="none"/>
      </font>
      <numFmt numFmtId="0" formatCode="General"/>
      <fill>
        <patternFill patternType="solid">
          <fgColor indexed="64"/>
          <bgColor rgb="FFEEEB61"/>
        </patternFill>
      </fill>
      <alignment horizontal="center" vertical="top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scheme val="none"/>
      </font>
      <fill>
        <patternFill patternType="none">
          <fgColor indexed="64"/>
          <bgColor theme="0"/>
        </patternFill>
      </fill>
      <alignment horizontal="center" vertical="top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scheme val="none"/>
      </font>
      <fill>
        <patternFill patternType="none">
          <fgColor indexed="64"/>
          <bgColor theme="0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scheme val="none"/>
      </font>
      <fill>
        <patternFill patternType="none">
          <fgColor indexed="64"/>
          <bgColor theme="0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scheme val="none"/>
      </font>
      <fill>
        <patternFill patternType="none">
          <fgColor indexed="64"/>
          <bgColor theme="0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8"/>
        <color theme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numFmt numFmtId="0" formatCode="General"/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numFmt numFmtId="0" formatCode="General"/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solid">
          <fgColor indexed="64"/>
          <bgColor theme="0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solid">
          <fgColor indexed="64"/>
          <bgColor theme="0" tint="-0.3499862666707357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solid">
          <fgColor indexed="64"/>
          <bgColor rgb="FFDD690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scheme val="none"/>
      </font>
      <numFmt numFmtId="0" formatCode="General"/>
      <fill>
        <patternFill patternType="solid">
          <fgColor indexed="64"/>
          <bgColor rgb="FFEEEB61"/>
        </patternFill>
      </fill>
      <alignment horizontal="center" vertical="top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scheme val="none"/>
      </font>
      <fill>
        <patternFill patternType="none">
          <fgColor indexed="64"/>
          <bgColor theme="0"/>
        </patternFill>
      </fill>
      <alignment horizontal="center" vertical="top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scheme val="none"/>
      </font>
      <fill>
        <patternFill patternType="none">
          <fgColor indexed="64"/>
          <bgColor theme="0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scheme val="none"/>
      </font>
      <fill>
        <patternFill patternType="none">
          <fgColor indexed="64"/>
          <bgColor theme="0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scheme val="none"/>
      </font>
      <fill>
        <patternFill patternType="none">
          <fgColor indexed="64"/>
          <bgColor theme="0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8"/>
        <color theme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charset val="204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charset val="204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charset val="204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charset val="204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charset val="204"/>
        <scheme val="minor"/>
      </font>
      <numFmt numFmtId="0" formatCode="General"/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charset val="204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charset val="204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charset val="204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charset val="204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charset val="204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charset val="204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charset val="204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charset val="204"/>
        <scheme val="minor"/>
      </font>
      <numFmt numFmtId="0" formatCode="General"/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charset val="204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charset val="204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charset val="204"/>
        <scheme val="minor"/>
      </font>
      <fill>
        <patternFill patternType="solid">
          <fgColor indexed="64"/>
          <bgColor theme="0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charset val="204"/>
        <scheme val="minor"/>
      </font>
      <fill>
        <patternFill patternType="solid">
          <fgColor indexed="64"/>
          <bgColor theme="0" tint="-0.3499862666707357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charset val="204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charset val="204"/>
        <scheme val="minor"/>
      </font>
      <fill>
        <patternFill patternType="solid">
          <fgColor indexed="64"/>
          <bgColor rgb="FFDD690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charset val="204"/>
        <scheme val="none"/>
      </font>
      <numFmt numFmtId="0" formatCode="General"/>
      <fill>
        <patternFill patternType="solid">
          <fgColor indexed="64"/>
          <bgColor rgb="FFEEEB61"/>
        </patternFill>
      </fill>
      <alignment horizontal="center" vertical="top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charset val="204"/>
        <scheme val="none"/>
      </font>
      <fill>
        <patternFill patternType="none">
          <fgColor indexed="64"/>
          <bgColor theme="0"/>
        </patternFill>
      </fill>
      <alignment horizontal="center" vertical="top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charset val="204"/>
        <scheme val="none"/>
      </font>
      <fill>
        <patternFill patternType="none">
          <fgColor indexed="64"/>
          <bgColor theme="0"/>
        </patternFill>
      </fill>
      <alignment horizontal="center" vertical="top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charset val="204"/>
        <scheme val="none"/>
      </font>
      <fill>
        <patternFill patternType="none">
          <fgColor indexed="64"/>
          <bgColor theme="0"/>
        </patternFill>
      </fill>
      <alignment horizontal="center" vertical="top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charset val="204"/>
        <scheme val="none"/>
      </font>
      <fill>
        <patternFill patternType="none">
          <fgColor indexed="64"/>
          <bgColor theme="0"/>
        </patternFill>
      </fill>
      <alignment horizontal="center" vertical="top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8"/>
        <color theme="1"/>
        <charset val="204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charset val="204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charset val="204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numFmt numFmtId="0" formatCode="General"/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solid">
          <fgColor indexed="64"/>
          <bgColor theme="0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solid">
          <fgColor indexed="64"/>
          <bgColor theme="0" tint="-0.3499862666707357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solid">
          <fgColor indexed="64"/>
          <bgColor theme="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scheme val="none"/>
      </font>
      <numFmt numFmtId="0" formatCode="General"/>
      <fill>
        <patternFill patternType="solid">
          <fgColor indexed="64"/>
          <bgColor rgb="FFEEEB61"/>
        </patternFill>
      </fill>
      <alignment horizontal="center" vertical="top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scheme val="none"/>
      </font>
      <fill>
        <patternFill patternType="none">
          <fgColor indexed="64"/>
          <bgColor theme="0"/>
        </patternFill>
      </fill>
      <alignment horizontal="center" vertical="top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scheme val="none"/>
      </font>
      <fill>
        <patternFill patternType="none">
          <fgColor indexed="64"/>
          <bgColor theme="0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scheme val="none"/>
      </font>
      <fill>
        <patternFill patternType="none">
          <fgColor indexed="64"/>
          <bgColor theme="0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scheme val="none"/>
      </font>
      <fill>
        <patternFill patternType="none">
          <fgColor indexed="64"/>
          <bgColor theme="0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8"/>
        <color theme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solid">
          <fgColor indexed="64"/>
          <bgColor theme="0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solid">
          <fgColor indexed="64"/>
          <bgColor theme="0" tint="-0.49998474074526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solid">
          <fgColor indexed="64"/>
          <bgColor theme="0" tint="-0.249977111117893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solid">
          <fgColor indexed="64"/>
          <bgColor theme="9" tint="0.399975585192419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relativeIndent="0" justifyLastLine="0" shrinkToFit="0" readingOrder="0"/>
    </dxf>
    <dxf>
      <font>
        <strike val="0"/>
        <outline val="0"/>
        <shadow val="0"/>
        <u val="none"/>
        <vertAlign val="baseline"/>
        <sz val="18"/>
        <color theme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fill>
        <patternFill patternType="solid">
          <fgColor indexed="64"/>
          <bgColor theme="0" tint="-0.49998474074526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fill>
        <patternFill patternType="solid">
          <fgColor indexed="64"/>
          <bgColor theme="0" tint="-0.249977111117893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fill>
        <patternFill patternType="solid">
          <fgColor indexed="64"/>
          <bgColor theme="9" tint="0.399975585192419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family val="1"/>
        <charset val="204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family val="1"/>
        <charset val="204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family val="1"/>
        <charset val="204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4"/>
        <color theme="1"/>
      </font>
    </dxf>
    <dxf>
      <border outline="0">
        <right style="thin">
          <color indexed="64"/>
        </right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2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left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solid">
          <fgColor indexed="64"/>
          <bgColor theme="0" tint="-0.49998474074526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solid">
          <fgColor indexed="64"/>
          <bgColor theme="0" tint="-0.249977111117893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solid">
          <fgColor indexed="64"/>
          <bgColor theme="9" tint="0.399975585192419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relativeIndent="0" justifyLastLine="0" shrinkToFit="0" readingOrder="0"/>
    </dxf>
    <dxf>
      <font>
        <strike val="0"/>
        <outline val="0"/>
        <shadow val="0"/>
        <u val="none"/>
        <vertAlign val="baseline"/>
        <sz val="18"/>
        <color theme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  <numFmt numFmtId="4" formatCode="#,##0.0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  <numFmt numFmtId="4" formatCode="#,##0.0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  <numFmt numFmtId="4" formatCode="#,##0.0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  <numFmt numFmtId="4" formatCode="#,##0.0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9" defaultPivotStyle="PivotStyleLight16"/>
  <colors>
    <mruColors>
      <color rgb="FFDD6909"/>
      <color rgb="FFEEEB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4C39D22-CB82-4BD7-8AE5-EF4C4D1D878F}" name="Таблица2" displayName="Таблица2" ref="A3:I20" totalsRowCount="1" headerRowDxfId="370" dataDxfId="369" totalsRowDxfId="368">
  <autoFilter ref="A3:I19" xr:uid="{64C39D22-CB82-4BD7-8AE5-EF4C4D1D878F}"/>
  <tableColumns count="9">
    <tableColumn id="1" xr3:uid="{DA6B27DD-8585-4980-969C-CE89729EE374}" name="Названия строк" totalsRowLabel="Итог" dataDxfId="367" totalsRowDxfId="366"/>
    <tableColumn id="2" xr3:uid="{DFA29F7B-3DB4-4200-8B4E-3585193120DC}" name="Протяженность(км)" totalsRowFunction="sum" dataDxfId="365" totalsRowDxfId="364"/>
    <tableColumn id="3" xr3:uid="{CB8DFF03-3735-4342-9E5D-9F2A5F347BF0}" name="Коэфициент" totalsRowFunction="sum" dataDxfId="363" totalsRowDxfId="362">
      <calculatedColumnFormula>100/Таблица2[[#Totals],[Протяженность(км)]]*Таблица2[[#This Row],[Протяженность(км)]]</calculatedColumnFormula>
    </tableColumn>
    <tableColumn id="4" xr3:uid="{57058A9C-056D-408A-B48E-51D97B630696}" name="Сумма, рублей" totalsRowFunction="sum" dataDxfId="361" totalsRowDxfId="360">
      <calculatedColumnFormula>$D$2%*Таблица2[[#This Row],[Коэфициент]]</calculatedColumnFormula>
    </tableColumn>
    <tableColumn id="5" xr3:uid="{0AE4B0D6-2F26-43CF-A7AD-7DB392E97806}" name="Столбец1" dataDxfId="359" totalsRowDxfId="358"/>
    <tableColumn id="8" xr3:uid="{E9006C6C-93F5-4C51-BAE6-CC53B00D13F2}" name="Столбец12" dataDxfId="357" totalsRowDxfId="356"/>
    <tableColumn id="6" xr3:uid="{1492E5E9-57A3-45CB-99FB-7DE9B70D9497}" name="Столбец2" dataDxfId="355" totalsRowDxfId="354"/>
    <tableColumn id="7" xr3:uid="{6235C608-67F3-46BD-9695-5256AEDA3D03}" name="Столбец3" dataDxfId="353" totalsRowDxfId="352"/>
    <tableColumn id="9" xr3:uid="{66C4D868-DF7D-42A1-A93E-DA91B475C63A}" name="Столбец4" dataDxfId="351" totalsRowDxfId="350">
      <calculatedColumnFormula>100/Таблица2[[#Totals],[Протяженность(км)]]*Таблица2[[#This Row],[Протяженность(км)]]</calculatedColumnFormula>
    </tableColumn>
  </tableColumns>
  <tableStyleInfo name="TableStyleLight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ADD114EF-6FD8-4836-AC9C-8004F0DA6FE9}" name="Таблица191011" displayName="Таблица191011" ref="A2:T71" totalsRowCount="1" headerRowDxfId="42" dataDxfId="41" totalsRowDxfId="40">
  <autoFilter ref="A2:T70" xr:uid="{435CBEAB-E67C-437A-AA74-0E1A3EFD5E2F}">
    <filterColumn colId="2">
      <filters>
        <filter val="«автодорога по с.Борищево»"/>
        <filter val="«Калуга - Тула» - д. Борисовка"/>
        <filter val="д.Борищево-д.Родники"/>
        <filter val="с. Борищево – д. Орля"/>
      </filters>
    </filterColumn>
  </autoFilter>
  <tableColumns count="20">
    <tableColumn id="1" xr3:uid="{706CA1BD-5B73-432A-88AB-A039EC8DFCEA}" name="№ п/п" totalsRowLabel="Итог" dataDxfId="39" totalsRowDxfId="38"/>
    <tableColumn id="2" xr3:uid="{9F49280F-91FE-4221-8A8E-886593C59AB1}" name="Идентификационный номер" dataDxfId="37" totalsRowDxfId="36"/>
    <tableColumn id="3" xr3:uid="{251B3210-149A-4435-8C2B-868C92725C2D}" name="Наименование автодороги" dataDxfId="35" totalsRowDxfId="34"/>
    <tableColumn id="9" xr3:uid="{55E14B7A-C7AD-4EE7-BA11-9D3719C909A6}" name="Принадлежность" dataDxfId="33" totalsRowDxfId="32"/>
    <tableColumn id="4" xr3:uid="{B5E19441-08AD-4301-B562-F7C8BBA9539D}" name="Протяженность(км)" totalsRowFunction="sum" dataDxfId="31" totalsRowDxfId="30">
      <calculatedColumnFormula>Таблица191011[[#This Row],[Грунт]]+Таблица191011[[#This Row],[Щебень]]+Таблица191011[[#This Row],[Асфальт]]+Таблица191011[[#This Row],[Бетон]]</calculatedColumnFormula>
    </tableColumn>
    <tableColumn id="5" xr3:uid="{E1452F08-A421-458C-A635-D1C5C0A9839F}" name="Грунт" totalsRowFunction="sum" dataDxfId="29" totalsRowDxfId="28"/>
    <tableColumn id="6" xr3:uid="{1D82E255-974C-4324-B814-9D739B8103E2}" name="Щебень" totalsRowFunction="sum" dataDxfId="27" totalsRowDxfId="26"/>
    <tableColumn id="7" xr3:uid="{D87679C4-9A76-49BA-8C61-7909C93C94AA}" name="Асфальт" totalsRowFunction="sum" dataDxfId="25" totalsRowDxfId="24"/>
    <tableColumn id="8" xr3:uid="{99B446D9-F2E3-4B54-B035-5B358AF71AE8}" name="Бетон" totalsRowFunction="sum" dataDxfId="23" totalsRowDxfId="22"/>
    <tableColumn id="18" xr3:uid="{E8D9D85E-F502-4B94-8368-309464D54454}" name="Столбец6" totalsRowFunction="sum" dataDxfId="21" totalsRowDxfId="20"/>
    <tableColumn id="10" xr3:uid="{E507EFEE-156E-4A6C-A5FF-C5755A03E6D4}" name="ПАСПОРТИЗАЦИЯ" totalsRowFunction="sum" dataDxfId="19" totalsRowDxfId="18"/>
    <tableColumn id="11" xr3:uid="{60B2B99D-7EBE-4D7D-A223-52B852DB388B}" name="МЕЖЕВАНИЕ" totalsRowFunction="sum" dataDxfId="17" totalsRowDxfId="16">
      <calculatedColumnFormula>OR(#REF!&gt;0,#REF!&gt;0,#REF!&gt;0)</calculatedColumnFormula>
    </tableColumn>
    <tableColumn id="17" xr3:uid="{5F35EA67-038C-4B3A-A673-163D87775BC4}" name="Столбец5" totalsRowFunction="sum" dataDxfId="15" totalsRowDxfId="14"/>
    <tableColumn id="12" xr3:uid="{A706B441-C555-4608-BDD5-3E1D2A9AA924}" name="ФИЛЬТР ПО ТВЕРДОМУ" totalsRowFunction="sum" dataDxfId="13" totalsRowDxfId="12">
      <calculatedColumnFormula>OR(Таблица191011[[#This Row],[Щебень]]&gt;0,Таблица191011[[#This Row],[Асфальт]]&gt;0,Таблица191011[[#This Row],[Бетон]]&gt;0)</calculatedColumnFormula>
    </tableColumn>
    <tableColumn id="13" xr3:uid="{1E009C70-EE14-4172-AA02-07BAAB2B887D}" name="Столбец1" totalsRowFunction="sum" dataDxfId="11" totalsRowDxfId="10"/>
    <tableColumn id="14" xr3:uid="{567B1157-6F48-4F9E-BC4A-83EDD5F5A329}" name="Столбец2" dataDxfId="9" totalsRowDxfId="8"/>
    <tableColumn id="15" xr3:uid="{8190E137-CC97-4659-9AA3-12EB14898E00}" name="Столбец3" dataDxfId="7" totalsRowDxfId="6"/>
    <tableColumn id="16" xr3:uid="{0DDF3F04-5093-41E6-9AFD-104A89020FC4}" name="Столбец4" dataDxfId="5" totalsRowDxfId="4"/>
    <tableColumn id="19" xr3:uid="{09A82F17-2C45-401A-82FD-5DEEDE4B3462}" name="Столбец42" dataDxfId="3" totalsRowDxfId="2"/>
    <tableColumn id="20" xr3:uid="{D51A0429-29C9-40D0-95A3-F80D7BA2CD5E}" name="Столбец43" dataDxfId="1" totalsRowDxfId="0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342A2367-84B1-4BA4-AC13-8CEB0BD0D656}" name="Таблица28" displayName="Таблица28" ref="A25:H42" totalsRowCount="1" headerRowDxfId="349" dataDxfId="348" totalsRowDxfId="347">
  <autoFilter ref="A25:H41" xr:uid="{B9F04245-1EBA-4D26-AAB5-8AEB014C99B6}"/>
  <tableColumns count="8">
    <tableColumn id="1" xr3:uid="{2963649B-B6FB-4853-A75F-D2B8D0D6EE8B}" name="Названия строк" totalsRowLabel="Итог" dataDxfId="346" totalsRowDxfId="345"/>
    <tableColumn id="2" xr3:uid="{F5A90BFC-D66A-4E83-B2F5-D40CB5141061}" name="Протяженность(км)" totalsRowFunction="sum" dataDxfId="344" totalsRowDxfId="343"/>
    <tableColumn id="3" xr3:uid="{0D639C79-BC6F-40ED-BFD9-A6A0B2031446}" name="Коэфициент" totalsRowFunction="sum" dataDxfId="342" totalsRowDxfId="341">
      <calculatedColumnFormula>100/Таблица28[[#Totals],[Протяженность(км)]]*Таблица28[[#This Row],[Протяженность(км)]]</calculatedColumnFormula>
    </tableColumn>
    <tableColumn id="4" xr3:uid="{7F2B12D7-F0C8-4DDE-A156-081007E4003B}" name="Сумма, рублей" totalsRowFunction="sum" dataDxfId="340" totalsRowDxfId="339">
      <calculatedColumnFormula>$D$2%*Таблица28[[#This Row],[Коэфициент]]</calculatedColumnFormula>
    </tableColumn>
    <tableColumn id="5" xr3:uid="{FCBA9C7C-FE58-4A67-8117-1E4C3E0D5348}" name="Столбец1" totalsRowFunction="sum" dataDxfId="338" totalsRowDxfId="337"/>
    <tableColumn id="8" xr3:uid="{9BA81D14-97A2-4F3C-81A4-9184CA862EAE}" name="Столбец12" dataDxfId="336" totalsRowDxfId="335"/>
    <tableColumn id="6" xr3:uid="{E218197E-7237-4D74-8016-8DBAF3EBFA33}" name="Столбец2" dataDxfId="334" totalsRowDxfId="333"/>
    <tableColumn id="7" xr3:uid="{32F68E0A-A0C4-4099-8D62-C6742821B1DB}" name="Столбец3" dataDxfId="332" totalsRowDxfId="331">
      <calculatedColumnFormula>$D$42%*Таблица28[[#This Row],[Коэфициент]]</calculatedColumnFormula>
    </tableColumn>
  </tableColumns>
  <tableStyleInfo name="TableStyleLight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1:T279" totalsRowCount="1" headerRowDxfId="330" dataDxfId="329" totalsRowDxfId="328">
  <autoFilter ref="A1:T278" xr:uid="{00000000-0009-0000-0100-000001000000}"/>
  <sortState ref="A255:P255">
    <sortCondition ref="C1:C274"/>
  </sortState>
  <tableColumns count="20">
    <tableColumn id="1" xr3:uid="{00000000-0010-0000-0000-000001000000}" name="№ п/п" totalsRowLabel="Итог" dataDxfId="327" totalsRowDxfId="326"/>
    <tableColumn id="2" xr3:uid="{00000000-0010-0000-0000-000002000000}" name="Идентификационный номер" dataDxfId="325" totalsRowDxfId="324"/>
    <tableColumn id="3" xr3:uid="{00000000-0010-0000-0000-000003000000}" name="Наименование автодороги" dataDxfId="323" totalsRowDxfId="322"/>
    <tableColumn id="9" xr3:uid="{00000000-0010-0000-0000-000009000000}" name="Принадлежность" dataDxfId="321" totalsRowDxfId="320"/>
    <tableColumn id="4" xr3:uid="{00000000-0010-0000-0000-000004000000}" name="Протяженность(км)" totalsRowFunction="sum" dataDxfId="319" totalsRowDxfId="318">
      <calculatedColumnFormula>Таблица1[[#This Row],[Грунт]]+Таблица1[[#This Row],[Щебень]]+Таблица1[[#This Row],[Асфальт]]+Таблица1[[#This Row],[Бетон]]</calculatedColumnFormula>
    </tableColumn>
    <tableColumn id="5" xr3:uid="{00000000-0010-0000-0000-000005000000}" name="Грунт" totalsRowFunction="sum" dataDxfId="317" totalsRowDxfId="316"/>
    <tableColumn id="6" xr3:uid="{00000000-0010-0000-0000-000006000000}" name="Щебень" totalsRowFunction="sum" dataDxfId="315" totalsRowDxfId="314"/>
    <tableColumn id="7" xr3:uid="{00000000-0010-0000-0000-000007000000}" name="Асфальт" totalsRowFunction="sum" dataDxfId="313" totalsRowDxfId="312"/>
    <tableColumn id="8" xr3:uid="{00000000-0010-0000-0000-000008000000}" name="Бетон" totalsRowFunction="sum" dataDxfId="311" totalsRowDxfId="310"/>
    <tableColumn id="18" xr3:uid="{18AEB8D4-5281-4501-9667-458801D3AF0B}" name="Столбец6" totalsRowFunction="sum" dataDxfId="309" totalsRowDxfId="308"/>
    <tableColumn id="10" xr3:uid="{E9DD16CF-7BA7-4725-8989-790E35A9E61C}" name="ПАСПОРТИЗАЦИЯ" totalsRowFunction="sum" dataDxfId="307" totalsRowDxfId="306"/>
    <tableColumn id="11" xr3:uid="{48981FAB-9B6B-4EC6-9288-FB1E07195BF1}" name="МЕЖЕВАНИЕ" totalsRowFunction="sum" dataDxfId="305" totalsRowDxfId="304"/>
    <tableColumn id="17" xr3:uid="{2684B059-2DCF-47E2-A797-69C26CFB0717}" name="Столбец5" totalsRowFunction="sum" dataDxfId="303" totalsRowDxfId="302"/>
    <tableColumn id="12" xr3:uid="{F7B81CA3-9326-459F-8BDC-CBFA0F97BECE}" name="ФИЛЬТР ПО ТВЕРДОМУ" totalsRowFunction="sum" dataDxfId="301" totalsRowDxfId="300">
      <calculatedColumnFormula>OR(Таблица1[[#This Row],[Щебень]]&gt;0,Таблица1[[#This Row],[Асфальт]]&gt;0,Таблица1[[#This Row],[Бетон]]&gt;0)</calculatedColumnFormula>
    </tableColumn>
    <tableColumn id="13" xr3:uid="{D4044942-6D9B-45BC-8D0E-5F704A69B570}" name="Столбец1" totalsRowFunction="sum" dataDxfId="299" totalsRowDxfId="298"/>
    <tableColumn id="14" xr3:uid="{8F6DC4C6-73D6-4AD8-BAD4-5B7C6908792E}" name="Столбец2" dataDxfId="297" totalsRowDxfId="296"/>
    <tableColumn id="15" xr3:uid="{E6DDFF6C-C558-46DA-8EE3-2024B1A8E6FF}" name="Столбец3" dataDxfId="295" totalsRowDxfId="294"/>
    <tableColumn id="16" xr3:uid="{89D6378D-8490-4CDD-85EF-D46E5F1819BC}" name="Столбец4" dataDxfId="293" totalsRowDxfId="292"/>
    <tableColumn id="19" xr3:uid="{D28ED222-E782-4AD2-8E05-5150C5417AB1}" name="Столбец42" dataDxfId="291" totalsRowDxfId="290"/>
    <tableColumn id="20" xr3:uid="{1CBE089E-E101-4E05-B9A7-807783FDC36E}" name="Столбец43" dataDxfId="289" totalsRowDxfId="288"/>
  </tableColumns>
  <tableStyleInfo name="TableStyleMedium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BB2E9C9-2F89-4E05-800C-034E3920DBD8}" name="Таблица14" displayName="Таблица14" ref="A8:J115" totalsRowCount="1" headerRowDxfId="287" dataDxfId="285" headerRowBorderDxfId="286" tableBorderDxfId="284" totalsRowBorderDxfId="283">
  <autoFilter ref="A8:J114" xr:uid="{795A6667-669A-48D7-A0A3-F17FC573B79C}"/>
  <tableColumns count="10">
    <tableColumn id="1" xr3:uid="{D1DBDD11-B30E-48FC-A347-459A2A7F9A5F}" name="1" totalsRowLabel="Итог" dataDxfId="282" totalsRowDxfId="281"/>
    <tableColumn id="2" xr3:uid="{A6020C4C-584C-4B80-B286-18FC1AC13694}" name="2" dataDxfId="280" totalsRowDxfId="279"/>
    <tableColumn id="3" xr3:uid="{1FACE55E-EC86-4253-A3FF-C6ACE5A91B05}" name="3" totalsRowFunction="sum" dataDxfId="278" totalsRowDxfId="277">
      <calculatedColumnFormula>Таблица14[[#This Row],[5]]+Таблица14[[#This Row],[4]]+Таблица14[[#This Row],[6]]+Таблица14[[#This Row],[7]]</calculatedColumnFormula>
    </tableColumn>
    <tableColumn id="4" xr3:uid="{1CDD6A0C-F386-4CA1-BBE7-25C507C03497}" name="5" totalsRowFunction="sum" dataDxfId="276" totalsRowDxfId="275"/>
    <tableColumn id="5" xr3:uid="{FC774549-BDD8-4182-80F9-BF42F3097C24}" name="4" totalsRowFunction="sum" dataDxfId="274" totalsRowDxfId="273"/>
    <tableColumn id="6" xr3:uid="{38AC6233-89BF-4B4B-90BA-29CA5BDFB7DF}" name="6" totalsRowFunction="sum" dataDxfId="272" totalsRowDxfId="271"/>
    <tableColumn id="7" xr3:uid="{90C45104-B118-4F0F-8B3D-031F9BD17FCD}" name="7" totalsRowFunction="sum" dataDxfId="270" totalsRowDxfId="269"/>
    <tableColumn id="8" xr3:uid="{515DA520-2999-4DBF-9A59-91D87B2D5915}" name="8" dataDxfId="268" totalsRowDxfId="267"/>
    <tableColumn id="9" xr3:uid="{EAAD5C2A-6A91-4943-9347-A0E6CB67319E}" name="9" dataDxfId="266" totalsRowDxfId="265">
      <calculatedColumnFormula>169+104</calculatedColumnFormula>
    </tableColumn>
    <tableColumn id="10" xr3:uid="{6BE16498-CBA8-43A4-B3C2-12ACDF13E600}" name="10" dataDxfId="264" totalsRowDxfId="263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B5FADC4-5B26-473F-A7FE-7E3171E03AFF}" name="Таблица3" displayName="Таблица3" ref="A4:I174" totalsRowCount="1" headerRowDxfId="262" dataDxfId="260" totalsRowDxfId="258" headerRowBorderDxfId="261" tableBorderDxfId="259" totalsRowBorderDxfId="257">
  <autoFilter ref="A4:I173" xr:uid="{031C8B11-070F-4D87-9A50-DB295FA087DF}"/>
  <tableColumns count="9">
    <tableColumn id="1" xr3:uid="{08E5B9AE-3061-4B22-9BD0-51DEF817AAC9}" name="1" totalsRowLabel="Итог" dataDxfId="256" totalsRowDxfId="255"/>
    <tableColumn id="2" xr3:uid="{B30F71FF-B443-44D1-B173-A955D5B351DD}" name="2" dataDxfId="254" totalsRowDxfId="253"/>
    <tableColumn id="9" xr3:uid="{1569E6BE-FB7C-42C1-80E9-DD7F1F7E4E51}" name="22" dataDxfId="252" totalsRowDxfId="251"/>
    <tableColumn id="3" xr3:uid="{FFA6F149-B9BE-419A-80A8-EEEA04F28699}" name="3" totalsRowFunction="sum" dataDxfId="250" totalsRowDxfId="249">
      <calculatedColumnFormula>Таблица3[[#This Row],[5]]+Таблица3[[#This Row],[4]]+Таблица3[[#This Row],[6]]+Таблица3[[#This Row],[7]]</calculatedColumnFormula>
    </tableColumn>
    <tableColumn id="4" xr3:uid="{1803DE41-264F-482F-95BD-BD071A8619C3}" name="5" totalsRowFunction="sum" dataDxfId="248" totalsRowDxfId="247"/>
    <tableColumn id="5" xr3:uid="{75D2A94D-A03D-49AA-AD45-3EBA443419E2}" name="4" totalsRowFunction="sum" dataDxfId="246" totalsRowDxfId="245"/>
    <tableColumn id="6" xr3:uid="{FCCBEA6F-BB31-4B49-97E3-2412E1E27876}" name="6" totalsRowFunction="sum" dataDxfId="244" totalsRowDxfId="243"/>
    <tableColumn id="7" xr3:uid="{F235BECE-51E9-4443-9047-F3018287E4BA}" name="7" totalsRowFunction="sum" dataDxfId="242" totalsRowDxfId="241"/>
    <tableColumn id="8" xr3:uid="{02209657-D43D-41B0-A291-C41CAAED3646}" name="8" dataDxfId="240" totalsRowDxfId="239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D83B687-AF09-45BF-B7D5-62AB2A7F3D89}" name="Таблица17" displayName="Таблица17" ref="A1:T270" totalsRowCount="1" headerRowDxfId="238" dataDxfId="237" totalsRowDxfId="236">
  <autoFilter ref="A1:T269" xr:uid="{3A9E357C-C245-4DC5-8F5C-FE31662251FD}">
    <filterColumn colId="9">
      <customFilters>
        <customFilter operator="notEqual" val=" "/>
      </customFilters>
    </filterColumn>
  </autoFilter>
  <sortState ref="A2:P2">
    <sortCondition ref="C1:C269"/>
  </sortState>
  <tableColumns count="20">
    <tableColumn id="1" xr3:uid="{81E856D8-80E5-41EE-811F-7B5F31594CB6}" name="№ п/п" totalsRowLabel="Итог" dataDxfId="235" totalsRowDxfId="234"/>
    <tableColumn id="2" xr3:uid="{6AB62D68-2C9E-44AD-9AB6-157109D6EAC2}" name="Идентификационный номер" dataDxfId="233" totalsRowDxfId="232"/>
    <tableColumn id="3" xr3:uid="{3141BE26-5E54-46CA-8BA0-619E042748B2}" name="Наименование автодороги" dataDxfId="231" totalsRowDxfId="230"/>
    <tableColumn id="9" xr3:uid="{A93455A8-9AC4-471F-9A70-99FC26F4B07D}" name="Принадлежность" dataDxfId="229" totalsRowDxfId="228"/>
    <tableColumn id="4" xr3:uid="{4E55A683-74B7-40B7-B51C-AF53A39C3239}" name="Протяженность(км)" totalsRowFunction="sum" dataDxfId="227" totalsRowDxfId="226">
      <calculatedColumnFormula>Таблица17[[#This Row],[Грунт]]+Таблица17[[#This Row],[Щебень]]+Таблица17[[#This Row],[Асфальт]]+Таблица17[[#This Row],[Бетон]]</calculatedColumnFormula>
    </tableColumn>
    <tableColumn id="5" xr3:uid="{2BE898C0-5C8A-41CE-A8E4-C8982D5BDA6B}" name="Грунт" totalsRowFunction="sum" dataDxfId="225" totalsRowDxfId="224"/>
    <tableColumn id="6" xr3:uid="{E3338CBF-506F-4E90-A578-61B560B2750D}" name="Щебень" totalsRowFunction="sum" dataDxfId="223" totalsRowDxfId="222"/>
    <tableColumn id="7" xr3:uid="{BE1AEF11-4E7A-4D05-9E1A-004B01DC657E}" name="Асфальт" totalsRowFunction="sum" dataDxfId="221" totalsRowDxfId="220"/>
    <tableColumn id="8" xr3:uid="{391157D2-971C-41B0-AA50-1A4EBAE6BC68}" name="Бетон" totalsRowFunction="sum" dataDxfId="219" totalsRowDxfId="218"/>
    <tableColumn id="18" xr3:uid="{A715D6A8-E05D-40C8-9A8F-4C6118456789}" name="Столбец6" dataDxfId="217" totalsRowDxfId="216"/>
    <tableColumn id="10" xr3:uid="{5040E2C4-284E-4781-B892-F9934610E10C}" name="ПАСПОРТИЗАЦИЯ" dataDxfId="215" totalsRowDxfId="214"/>
    <tableColumn id="11" xr3:uid="{AEC39495-1E2F-425F-84BA-1EB514EF5DF3}" name="МЕЖЕВАНИЕ" totalsRowFunction="count" dataDxfId="213" totalsRowDxfId="212"/>
    <tableColumn id="17" xr3:uid="{97734268-05C6-4A3A-8F5E-EB35C7A3FE02}" name="Столбец5" dataDxfId="211" totalsRowDxfId="210"/>
    <tableColumn id="12" xr3:uid="{7F5CBCDB-57C7-4F1C-90B4-D5D7DE82D691}" name="ФИЛЬТР ПО ТВЕРДОМУ" dataDxfId="209" totalsRowDxfId="208">
      <calculatedColumnFormula>OR(Таблица17[[#This Row],[Щебень]]&gt;0,Таблица17[[#This Row],[Асфальт]]&gt;0,Таблица17[[#This Row],[Бетон]]&gt;0)</calculatedColumnFormula>
    </tableColumn>
    <tableColumn id="13" xr3:uid="{11B8BB30-309C-4BCE-AB6D-1B542DA17C8A}" name="Столбец1" totalsRowFunction="sum" dataDxfId="207" totalsRowDxfId="206"/>
    <tableColumn id="14" xr3:uid="{7412B3D9-1A1D-4FFD-B116-E74427F18F3F}" name="Столбец2" dataDxfId="205" totalsRowDxfId="204"/>
    <tableColumn id="15" xr3:uid="{CA048402-680E-4DC6-9340-4760A3A87452}" name="Столбец3" dataDxfId="203" totalsRowDxfId="202"/>
    <tableColumn id="16" xr3:uid="{F6071A4F-C8F4-44D9-88F4-4613C39F6789}" name="Столбец4" dataDxfId="201" totalsRowDxfId="200"/>
    <tableColumn id="20" xr3:uid="{152F6FE3-13B2-4690-8541-F5A2CADBDBC0}" name="Столбец43" dataDxfId="199" totalsRowDxfId="198"/>
    <tableColumn id="19" xr3:uid="{02608839-47BB-459D-AA3A-B82381B0586C}" name="Столбец42" dataDxfId="197" totalsRowDxfId="196"/>
  </tableColumns>
  <tableStyleInfo name="TableStyleMedium4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2A223523-06C3-460C-B3EA-A472BE41D2E8}" name="Таблица19" displayName="Таблица19" ref="A2:T280" totalsRowCount="1" headerRowDxfId="195" dataDxfId="194" totalsRowDxfId="193">
  <autoFilter ref="A2:T279" xr:uid="{8080A63E-1DC8-48AC-BB8C-319E27F9ED51}"/>
  <sortState ref="A3:P3">
    <sortCondition ref="C2:C275"/>
  </sortState>
  <tableColumns count="20">
    <tableColumn id="1" xr3:uid="{51D51B03-E59F-4714-87C9-CE65D83D4893}" name="№ п/п" totalsRowLabel="Итог" dataDxfId="192" totalsRowDxfId="191"/>
    <tableColumn id="2" xr3:uid="{E1242596-54CF-4B2A-AB57-06CA11152820}" name="Идентификационный номер" dataDxfId="190" totalsRowDxfId="189"/>
    <tableColumn id="3" xr3:uid="{590B2475-3075-4413-A643-1CAA0D8227EE}" name="Наименование автодороги" dataDxfId="188" totalsRowDxfId="187"/>
    <tableColumn id="9" xr3:uid="{0F73DAD3-DF8E-49DE-B689-5475B7243D00}" name="Принадлежность" dataDxfId="186" totalsRowDxfId="185"/>
    <tableColumn id="4" xr3:uid="{EBD7528E-EEAD-455C-8079-92798A6D0B7B}" name="Протяженность(км)" totalsRowFunction="sum" dataDxfId="184" totalsRowDxfId="183">
      <calculatedColumnFormula>Таблица19[[#This Row],[Грунт]]+Таблица19[[#This Row],[Щебень]]+Таблица19[[#This Row],[Асфальт]]+Таблица19[[#This Row],[Бетон]]</calculatedColumnFormula>
    </tableColumn>
    <tableColumn id="5" xr3:uid="{75999AA2-DA13-49B1-82C5-674D9EEA4BFD}" name="Грунт" totalsRowFunction="sum" dataDxfId="182" totalsRowDxfId="181"/>
    <tableColumn id="6" xr3:uid="{B0028541-75A6-4410-958C-AD61C5909498}" name="Щебень" totalsRowFunction="sum" dataDxfId="180" totalsRowDxfId="179"/>
    <tableColumn id="7" xr3:uid="{5F1B1755-091C-4E03-871E-70E6B90B4017}" name="Асфальт" totalsRowFunction="sum" dataDxfId="178" totalsRowDxfId="177"/>
    <tableColumn id="8" xr3:uid="{0C36E13E-2C90-41A4-82EE-703B7854F888}" name="Бетон" totalsRowFunction="sum" dataDxfId="176" totalsRowDxfId="175"/>
    <tableColumn id="18" xr3:uid="{8AEBB022-5CA8-4C6E-A9E4-27EC9974690A}" name="Столбец6" totalsRowFunction="sum" dataDxfId="174" totalsRowDxfId="173"/>
    <tableColumn id="10" xr3:uid="{8B6A689A-0ABA-47CE-A6AA-AFC9F2A88288}" name="ПАСПОРТИЗАЦИЯ" totalsRowFunction="sum" dataDxfId="172" totalsRowDxfId="171"/>
    <tableColumn id="11" xr3:uid="{F394D5A9-7EF1-4C95-92B6-A7F3878157A3}" name="МЕЖЕВАНИЕ" totalsRowFunction="sum" dataDxfId="170" totalsRowDxfId="169"/>
    <tableColumn id="17" xr3:uid="{B989337F-95F1-41D4-ACAF-5A9A8174E26D}" name="Столбец5" totalsRowFunction="sum" dataDxfId="168" totalsRowDxfId="167"/>
    <tableColumn id="12" xr3:uid="{146295C1-809E-4D81-9178-8632778EED68}" name="ФИЛЬТР ПО ТВЕРДОМУ" totalsRowFunction="sum" dataDxfId="166" totalsRowDxfId="165">
      <calculatedColumnFormula>OR(Таблица19[[#This Row],[Щебень]]&gt;0,Таблица19[[#This Row],[Асфальт]]&gt;0,Таблица19[[#This Row],[Бетон]]&gt;0)</calculatedColumnFormula>
    </tableColumn>
    <tableColumn id="13" xr3:uid="{CB75D56B-26F1-4840-BB2E-D198A785CB57}" name="Столбец1" totalsRowFunction="sum" dataDxfId="164" totalsRowDxfId="163"/>
    <tableColumn id="14" xr3:uid="{0F08D4CF-5803-4618-A2E9-36EAF214F41F}" name="Столбец2" dataDxfId="162" totalsRowDxfId="161"/>
    <tableColumn id="15" xr3:uid="{AE90915E-307E-4AB3-8020-567E9C25FA2C}" name="Столбец3" dataDxfId="160" totalsRowDxfId="159"/>
    <tableColumn id="16" xr3:uid="{F5F0332C-088D-4F75-8A26-772A7972B501}" name="Столбец4" dataDxfId="158" totalsRowDxfId="157"/>
    <tableColumn id="19" xr3:uid="{C01277E7-255F-49D6-9825-457040268E5A}" name="Столбец42" dataDxfId="156" totalsRowDxfId="155"/>
    <tableColumn id="20" xr3:uid="{D88199D6-67B3-4478-B526-6F3E1BBE7424}" name="Столбец43" dataDxfId="154" totalsRowDxfId="153"/>
  </tableColumns>
  <tableStyleInfo name="TableStyleMedium4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86598983-C7B6-4ED0-B00F-74EC544525F8}" name="Таблица191014" displayName="Таблица191014" ref="A2:Z283" totalsRowCount="1" headerRowDxfId="152" dataDxfId="151" totalsRowDxfId="150">
  <autoFilter ref="A2:Z282" xr:uid="{1AFE1D8A-644D-4E00-BC1C-770F91A44E4B}"/>
  <tableColumns count="26">
    <tableColumn id="1" xr3:uid="{6D50015D-FBEB-4627-97F7-A5C3B6729F6C}" name="№ п/п" totalsRowLabel="Итог" dataDxfId="149" totalsRowDxfId="148"/>
    <tableColumn id="2" xr3:uid="{5CE7F384-E998-4604-BA74-26F79C6FE734}" name="Идентификационный номер" dataDxfId="147" totalsRowDxfId="146"/>
    <tableColumn id="3" xr3:uid="{9FD79BA8-4C21-4268-B697-44225D63F099}" name="Наименование автодороги" dataDxfId="145" totalsRowDxfId="144"/>
    <tableColumn id="9" xr3:uid="{600F1750-9C18-4AB6-9004-595F5C0F7616}" name="Принадлежность" dataDxfId="143" totalsRowDxfId="142"/>
    <tableColumn id="4" xr3:uid="{EEB3D7D9-AF4F-41A6-B9CF-9167CF7AE703}" name="Протяженность(км)" totalsRowFunction="sum" dataDxfId="141" totalsRowDxfId="140">
      <calculatedColumnFormula>Таблица191014[[#This Row],[Грунт]]+Таблица191014[[#This Row],[Щебень]]+Таблица191014[[#This Row],[Асфальт]]+Таблица191014[[#This Row],[Бетон]]</calculatedColumnFormula>
    </tableColumn>
    <tableColumn id="5" xr3:uid="{32A4F295-B92F-4712-97B9-FEA851E07667}" name="Грунт" totalsRowFunction="sum" dataDxfId="139" totalsRowDxfId="138"/>
    <tableColumn id="6" xr3:uid="{DA8857E3-A091-4A28-975D-563A205143A3}" name="Щебень" totalsRowFunction="sum" dataDxfId="137" totalsRowDxfId="136"/>
    <tableColumn id="7" xr3:uid="{F0AA3985-D4DA-40F7-81BD-297ADA0A40F7}" name="Асфальт" totalsRowFunction="sum" dataDxfId="135" totalsRowDxfId="134"/>
    <tableColumn id="8" xr3:uid="{665012CA-6499-4ABB-9132-D0211915204F}" name="Бетон" totalsRowFunction="sum" dataDxfId="133" totalsRowDxfId="132"/>
    <tableColumn id="18" xr3:uid="{1BBD8B1B-FAEF-4990-8437-421E5BB4F93A}" name="Столбец6" totalsRowFunction="sum" dataDxfId="131" totalsRowDxfId="130"/>
    <tableColumn id="10" xr3:uid="{2C45B363-F6EA-43F1-8533-34C3AF9ADFC5}" name="ПАСПОРТИЗАЦИЯ" totalsRowFunction="sum" dataDxfId="129" totalsRowDxfId="128"/>
    <tableColumn id="11" xr3:uid="{3848E171-8B6E-4723-B34B-137C58706CC3}" name="МЕЖЕВАНИЕ" totalsRowFunction="sum" dataDxfId="127" totalsRowDxfId="126"/>
    <tableColumn id="17" xr3:uid="{39D403B4-345C-435F-BEFC-C40AA8676174}" name="Столбец5" totalsRowFunction="sum" dataDxfId="125" totalsRowDxfId="124"/>
    <tableColumn id="12" xr3:uid="{78292FD6-2963-480D-BAED-29A2D3A8A8DA}" name="ФИЛЬТР ПО ТВЕРДОМУ" totalsRowFunction="sum" dataDxfId="123" totalsRowDxfId="122">
      <calculatedColumnFormula>OR(Таблица191014[[#This Row],[Щебень]]&gt;0,Таблица191014[[#This Row],[Асфальт]]&gt;0,Таблица191014[[#This Row],[Бетон]]&gt;0)</calculatedColumnFormula>
    </tableColumn>
    <tableColumn id="13" xr3:uid="{A6C2EFEF-74F6-4B41-A1F7-9B103310CB93}" name="Столбец1" totalsRowFunction="sum" dataDxfId="121" totalsRowDxfId="120"/>
    <tableColumn id="14" xr3:uid="{B91B0324-0665-4A0A-B57B-E554FB8EFECB}" name="Столбец2" dataDxfId="119" totalsRowDxfId="118"/>
    <tableColumn id="15" xr3:uid="{6F40423F-D741-491F-9CD6-1A1762FC2DA8}" name="Столбец3" dataDxfId="117" totalsRowDxfId="116"/>
    <tableColumn id="16" xr3:uid="{47DC6627-5DF3-4BA7-813F-2AEBD7FE1087}" name="Столбец4" dataDxfId="115" totalsRowDxfId="114"/>
    <tableColumn id="19" xr3:uid="{0A3DFEA9-CB07-4B6F-BDB4-77962450E39C}" name="Столбец42" dataDxfId="113" totalsRowDxfId="112"/>
    <tableColumn id="20" xr3:uid="{532873A3-B2BC-48AA-8993-4ABBFE886A2F}" name="Столбец43" dataDxfId="111" totalsRowDxfId="110"/>
    <tableColumn id="21" xr3:uid="{7BD4B9A7-895D-46E1-83C0-EB7ED484C1AE}" name="Столбец44" dataDxfId="109" totalsRowDxfId="108"/>
    <tableColumn id="22" xr3:uid="{A78DE17A-FBFB-4F07-868C-5BDFD4AB1159}" name="Столбец45" dataDxfId="107" totalsRowDxfId="106">
      <calculatedColumnFormula>Таблица191014[[#This Row],[Грунт]]+Таблица191014[[#This Row],[Щебень]]+Таблица191014[[#This Row],[Асфальт]]+Таблица191014[[#This Row],[Бетон]]</calculatedColumnFormula>
    </tableColumn>
    <tableColumn id="23" xr3:uid="{8553E7B3-7D46-4EFE-9C3D-8B1DAB081D51}" name="Столбец46" dataDxfId="105" totalsRowDxfId="104"/>
    <tableColumn id="24" xr3:uid="{24043925-0E70-4FC8-AAE5-E65817A46A1E}" name="Столбец47" dataDxfId="103" totalsRowDxfId="102"/>
    <tableColumn id="25" xr3:uid="{F0B860CA-D2E3-4919-BCCE-D355EA6CE8C3}" name="Столбец48" dataDxfId="101" totalsRowDxfId="100"/>
    <tableColumn id="26" xr3:uid="{BC45E4C4-BA88-433E-A0DE-6E4658C6A29A}" name="Столбец49" dataDxfId="99" totalsRowDxfId="98"/>
  </tableColumns>
  <tableStyleInfo name="TableStyleMedium4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F7FDF4F1-E68B-4622-BDE6-8B7236D198E2}" name="Таблица191012" displayName="Таблица191012" ref="A2:Z282" totalsRowCount="1" headerRowDxfId="97" dataDxfId="96" totalsRowDxfId="95">
  <autoFilter ref="A2:Z281" xr:uid="{3217B527-2FB5-4C01-8502-F910BDD8304B}"/>
  <tableColumns count="26">
    <tableColumn id="1" xr3:uid="{8496F614-7C23-48E2-84E3-79A642D27DB4}" name="№ п/п" totalsRowLabel="Итог" dataDxfId="94" totalsRowDxfId="93"/>
    <tableColumn id="2" xr3:uid="{20947005-84C7-433D-A116-AB08A2891C6A}" name="Идентификационный номер" dataDxfId="92" totalsRowDxfId="91"/>
    <tableColumn id="3" xr3:uid="{A3F7A147-82B3-4B35-81A0-ACD6FF101A1F}" name="Наименование автодороги" dataDxfId="90" totalsRowDxfId="89"/>
    <tableColumn id="9" xr3:uid="{46448ED1-A816-4A8D-8C78-ED5B2F661D06}" name="Принадлежность" dataDxfId="88" totalsRowDxfId="87"/>
    <tableColumn id="4" xr3:uid="{77DB6D4F-561C-4A30-AEAB-B1648D7274F6}" name="Протяженность(км)" totalsRowFunction="sum" dataDxfId="86" totalsRowDxfId="85">
      <calculatedColumnFormula>Таблица191012[[#This Row],[Грунт]]+Таблица191012[[#This Row],[Щебень]]+Таблица191012[[#This Row],[Асфальт]]+Таблица191012[[#This Row],[Бетон]]</calculatedColumnFormula>
    </tableColumn>
    <tableColumn id="5" xr3:uid="{C395EB1B-99B4-4B08-BD72-A3442ABD1B83}" name="Грунт" totalsRowFunction="sum" dataDxfId="84" totalsRowDxfId="83"/>
    <tableColumn id="6" xr3:uid="{46BE4180-6D6F-437B-A284-21EED35D99C5}" name="Щебень" totalsRowFunction="sum" dataDxfId="82" totalsRowDxfId="81"/>
    <tableColumn id="7" xr3:uid="{2ACE487E-57BE-4091-9AAE-DC860D71F152}" name="Асфальт" totalsRowFunction="sum" dataDxfId="80" totalsRowDxfId="79"/>
    <tableColumn id="8" xr3:uid="{5279F900-439F-408A-BE82-2945D1ACC226}" name="Бетон" totalsRowFunction="sum" dataDxfId="78" totalsRowDxfId="77"/>
    <tableColumn id="18" xr3:uid="{29C06DDD-CA10-42C1-817F-12B2A56573DF}" name="Столбец6" totalsRowFunction="sum" dataDxfId="76" totalsRowDxfId="75"/>
    <tableColumn id="10" xr3:uid="{FD95971C-8DE7-41D4-B23D-40FCC0C2569F}" name="ПАСПОРТИЗАЦИЯ" totalsRowFunction="sum" dataDxfId="74" totalsRowDxfId="73"/>
    <tableColumn id="11" xr3:uid="{9AF1F0F8-B048-44B5-BB9E-D0127E32C284}" name="МЕЖЕВАНИЕ" totalsRowFunction="sum" dataDxfId="72" totalsRowDxfId="71"/>
    <tableColumn id="17" xr3:uid="{1202FA07-1EEC-479E-9A08-83C697FD9E70}" name="Столбец5" totalsRowFunction="sum" dataDxfId="70" totalsRowDxfId="69"/>
    <tableColumn id="12" xr3:uid="{FE3F3DA8-E01E-4F55-92E9-9691D815B6C8}" name="ФИЛЬТР ПО ТВЕРДОМУ" totalsRowFunction="sum" dataDxfId="68" totalsRowDxfId="67">
      <calculatedColumnFormula>OR(Таблица191012[[#This Row],[Щебень]]&gt;0,Таблица191012[[#This Row],[Асфальт]]&gt;0,Таблица191012[[#This Row],[Бетон]]&gt;0)</calculatedColumnFormula>
    </tableColumn>
    <tableColumn id="13" xr3:uid="{BECD25A4-69F6-48EE-8BEE-EA15144FF8E6}" name="Столбец1" totalsRowFunction="sum" dataDxfId="66" totalsRowDxfId="65"/>
    <tableColumn id="14" xr3:uid="{433AB73A-A6A4-41FA-B4A5-A24B8C2550E8}" name="Столбец2" dataDxfId="64" totalsRowDxfId="63"/>
    <tableColumn id="15" xr3:uid="{26244CEC-C9CB-4670-8CFD-B48E6B63E223}" name="Столбец3" dataDxfId="62" totalsRowDxfId="61"/>
    <tableColumn id="16" xr3:uid="{1C380E72-8C16-46A0-B73F-909FFDE8FE7A}" name="Столбец4" dataDxfId="60" totalsRowDxfId="59"/>
    <tableColumn id="19" xr3:uid="{7F612B47-EFD2-42F8-A256-25C28483487A}" name="Столбец42" dataDxfId="58" totalsRowDxfId="57"/>
    <tableColumn id="20" xr3:uid="{458FBF3C-C572-4D61-B6AA-A671EBD8BD3E}" name="Столбец43" dataDxfId="56" totalsRowDxfId="55"/>
    <tableColumn id="21" xr3:uid="{170D4570-7CE6-4F4B-8396-47C92278BFAA}" name="Столбец44" dataDxfId="54" totalsRowDxfId="53"/>
    <tableColumn id="22" xr3:uid="{23CA1E62-FF0C-4854-BBFD-AD449BE29C65}" name="Столбец45" dataDxfId="52" totalsRowDxfId="51">
      <calculatedColumnFormula>Таблица191012[[#This Row],[Грунт]]+Таблица191012[[#This Row],[Щебень]]+Таблица191012[[#This Row],[Асфальт]]+Таблица191012[[#This Row],[Бетон]]</calculatedColumnFormula>
    </tableColumn>
    <tableColumn id="23" xr3:uid="{5725837F-FD3F-4B69-A475-14E44920CFDC}" name="Столбец46" dataDxfId="50" totalsRowDxfId="49"/>
    <tableColumn id="24" xr3:uid="{A431C4D5-51EC-4E10-8960-DFC1D264B96F}" name="Столбец47" dataDxfId="48" totalsRowDxfId="47"/>
    <tableColumn id="25" xr3:uid="{3D608D3F-6E28-40F3-AE78-CEDA8228DB7A}" name="Столбец48" dataDxfId="46" totalsRowDxfId="45"/>
    <tableColumn id="26" xr3:uid="{5691273D-DA73-46C7-8F12-EA3105240A1E}" name="Столбец49" dataDxfId="44" totalsRowDxfId="43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1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0D2BA-EA81-4502-97F8-21F50A6E6915}">
  <dimension ref="A1:I45"/>
  <sheetViews>
    <sheetView zoomScaleNormal="100" workbookViewId="0">
      <selection activeCell="B4" sqref="B4"/>
    </sheetView>
  </sheetViews>
  <sheetFormatPr defaultRowHeight="15.75" x14ac:dyDescent="0.25"/>
  <cols>
    <col min="1" max="1" width="19.28515625" style="1" bestFit="1" customWidth="1"/>
    <col min="2" max="2" width="21.85546875" style="1" customWidth="1"/>
    <col min="3" max="4" width="13.7109375" style="4" bestFit="1" customWidth="1"/>
    <col min="8" max="8" width="13.5703125" customWidth="1"/>
    <col min="11" max="11" width="11.5703125" bestFit="1" customWidth="1"/>
  </cols>
  <sheetData>
    <row r="1" spans="1:9" ht="10.5" customHeight="1" x14ac:dyDescent="0.25"/>
    <row r="2" spans="1:9" x14ac:dyDescent="0.25">
      <c r="D2" s="4">
        <v>7976600</v>
      </c>
    </row>
    <row r="3" spans="1:9" s="3" customFormat="1" ht="62.25" customHeight="1" x14ac:dyDescent="0.25">
      <c r="A3" s="2" t="s">
        <v>561</v>
      </c>
      <c r="B3" s="2" t="s">
        <v>3</v>
      </c>
      <c r="C3" s="5" t="s">
        <v>563</v>
      </c>
      <c r="D3" s="5" t="s">
        <v>564</v>
      </c>
      <c r="E3" s="2" t="s">
        <v>566</v>
      </c>
      <c r="F3" s="2" t="s">
        <v>811</v>
      </c>
      <c r="G3" s="2" t="s">
        <v>568</v>
      </c>
      <c r="H3" s="2" t="s">
        <v>794</v>
      </c>
      <c r="I3" s="2" t="s">
        <v>795</v>
      </c>
    </row>
    <row r="4" spans="1:9" x14ac:dyDescent="0.25">
      <c r="A4" s="1" t="s">
        <v>548</v>
      </c>
      <c r="B4" s="1">
        <v>32.07</v>
      </c>
      <c r="C4" s="4">
        <f>100/Таблица2[[#Totals],[Протяженность(км)]]*Таблица2[[#This Row],[Протяженность(км)]]</f>
        <v>6.6314999348636592</v>
      </c>
      <c r="D4" s="4">
        <f>$D$2%*Таблица2[[#This Row],[Коэфициент]]</f>
        <v>528968.22380433464</v>
      </c>
      <c r="E4" s="1"/>
      <c r="F4" s="221"/>
      <c r="G4" s="4"/>
      <c r="H4" s="4"/>
      <c r="I4" s="221">
        <f>100/Таблица2[[#Totals],[Протяженность(км)]]*Таблица2[[#This Row],[Протяженность(км)]]</f>
        <v>6.6314999348636592</v>
      </c>
    </row>
    <row r="5" spans="1:9" x14ac:dyDescent="0.25">
      <c r="A5" s="1" t="s">
        <v>549</v>
      </c>
      <c r="B5" s="1">
        <v>27.1</v>
      </c>
      <c r="C5" s="4">
        <f>100/Таблица2[[#Totals],[Протяженность(км)]]*Таблица2[[#This Row],[Протяженность(км)]]</f>
        <v>5.6037932096914611</v>
      </c>
      <c r="D5" s="4">
        <f>$D$2%*Таблица2[[#This Row],[Коэфициент]]</f>
        <v>446992.16916424909</v>
      </c>
      <c r="E5" s="1"/>
      <c r="F5" s="221"/>
      <c r="G5" s="1"/>
      <c r="H5" s="4"/>
      <c r="I5" s="221">
        <f>100/Таблица2[[#Totals],[Протяженность(км)]]*Таблица2[[#This Row],[Протяженность(км)]]</f>
        <v>5.6037932096914611</v>
      </c>
    </row>
    <row r="6" spans="1:9" x14ac:dyDescent="0.25">
      <c r="A6" s="1" t="s">
        <v>539</v>
      </c>
      <c r="B6" s="1">
        <v>59.085999999999999</v>
      </c>
      <c r="C6" s="4">
        <f>100/Таблица2[[#Totals],[Протяженность(км)]]*Таблица2[[#This Row],[Протяженность(км)]]</f>
        <v>12.217923453425449</v>
      </c>
      <c r="D6" s="4">
        <f>$D$2%*Таблица2[[#This Row],[Коэфициент]]</f>
        <v>974574.88218593434</v>
      </c>
      <c r="E6" s="1"/>
      <c r="F6" s="221"/>
      <c r="G6" s="1"/>
      <c r="H6" s="4"/>
      <c r="I6" s="221">
        <f>100/Таблица2[[#Totals],[Протяженность(км)]]*Таблица2[[#This Row],[Протяженность(км)]]</f>
        <v>12.217923453425449</v>
      </c>
    </row>
    <row r="7" spans="1:9" x14ac:dyDescent="0.25">
      <c r="A7" s="1" t="s">
        <v>543</v>
      </c>
      <c r="B7" s="1">
        <v>33.1</v>
      </c>
      <c r="C7" s="4">
        <f>100/Таблица2[[#Totals],[Протяженность(км)]]*Таблица2[[#This Row],[Протяженность(км)]]</f>
        <v>6.8444854332393863</v>
      </c>
      <c r="D7" s="4">
        <f>$D$2%*Таблица2[[#This Row],[Коэфициент]]</f>
        <v>545957.2250677729</v>
      </c>
      <c r="E7" s="1"/>
      <c r="F7" s="221"/>
      <c r="G7" s="1"/>
      <c r="H7" s="4"/>
      <c r="I7" s="221">
        <f>100/Таблица2[[#Totals],[Протяженность(км)]]*Таблица2[[#This Row],[Протяженность(км)]]</f>
        <v>6.8444854332393863</v>
      </c>
    </row>
    <row r="8" spans="1:9" x14ac:dyDescent="0.25">
      <c r="A8" s="1" t="s">
        <v>544</v>
      </c>
      <c r="B8" s="1">
        <v>16.445</v>
      </c>
      <c r="C8" s="4">
        <f>100/Таблица2[[#Totals],[Протяженность(км)]]*Таблица2[[#This Row],[Протяженность(км)]]</f>
        <v>3.4005306027076045</v>
      </c>
      <c r="D8" s="4">
        <f>$D$2%*Таблица2[[#This Row],[Коэфициент]]</f>
        <v>271246.7240555748</v>
      </c>
      <c r="E8" s="1"/>
      <c r="F8" s="221"/>
      <c r="G8" s="1"/>
      <c r="H8" s="4"/>
      <c r="I8" s="221">
        <f>100/Таблица2[[#Totals],[Протяженность(км)]]*Таблица2[[#This Row],[Протяженность(км)]]</f>
        <v>3.4005306027076045</v>
      </c>
    </row>
    <row r="9" spans="1:9" x14ac:dyDescent="0.25">
      <c r="A9" s="1" t="s">
        <v>551</v>
      </c>
      <c r="B9" s="1">
        <v>22.92</v>
      </c>
      <c r="C9" s="4">
        <f>100/Таблица2[[#Totals],[Протяженность(км)]]*Таблица2[[#This Row],[Протяженность(км)]]</f>
        <v>4.7394442939530741</v>
      </c>
      <c r="D9" s="4">
        <f>$D$2%*Таблица2[[#This Row],[Коэфициент]]</f>
        <v>378046.51355146093</v>
      </c>
      <c r="E9" s="1"/>
      <c r="F9" s="221"/>
      <c r="G9" s="1"/>
      <c r="H9" s="4"/>
      <c r="I9" s="221">
        <f>100/Таблица2[[#Totals],[Протяженность(км)]]*Таблица2[[#This Row],[Протяженность(км)]]</f>
        <v>4.7394442939530741</v>
      </c>
    </row>
    <row r="10" spans="1:9" x14ac:dyDescent="0.25">
      <c r="A10" s="1" t="s">
        <v>545</v>
      </c>
      <c r="B10" s="1">
        <v>46.52</v>
      </c>
      <c r="C10" s="4">
        <f>100/Таблица2[[#Totals],[Протяженность(км)]]*Таблица2[[#This Row],[Протяженность(км)]]</f>
        <v>9.6195003732415785</v>
      </c>
      <c r="D10" s="4">
        <f>$D$2%*Таблица2[[#This Row],[Коэфициент]]</f>
        <v>767309.06677198771</v>
      </c>
      <c r="E10" s="1"/>
      <c r="F10" s="221"/>
      <c r="G10" s="1"/>
      <c r="H10" s="4"/>
      <c r="I10" s="221">
        <f>100/Таблица2[[#Totals],[Протяженность(км)]]*Таблица2[[#This Row],[Протяженность(км)]]</f>
        <v>9.6195003732415785</v>
      </c>
    </row>
    <row r="11" spans="1:9" x14ac:dyDescent="0.25">
      <c r="A11" s="1" t="s">
        <v>538</v>
      </c>
      <c r="B11" s="1">
        <v>33.218000000000004</v>
      </c>
      <c r="C11" s="4">
        <f>100/Таблица2[[#Totals],[Протяженность(км)]]*Таблица2[[#This Row],[Протяженность(км)]]</f>
        <v>6.8688857136358292</v>
      </c>
      <c r="D11" s="4">
        <f>$D$2%*Таблица2[[#This Row],[Коэфициент]]</f>
        <v>547903.53783387551</v>
      </c>
      <c r="E11" s="1"/>
      <c r="F11" s="221"/>
      <c r="G11" s="1"/>
      <c r="H11" s="4"/>
      <c r="I11" s="221">
        <f>100/Таблица2[[#Totals],[Протяженность(км)]]*Таблица2[[#This Row],[Протяженность(км)]]</f>
        <v>6.8688857136358292</v>
      </c>
    </row>
    <row r="12" spans="1:9" x14ac:dyDescent="0.25">
      <c r="A12" s="1" t="s">
        <v>547</v>
      </c>
      <c r="B12" s="1">
        <v>16.649999999999999</v>
      </c>
      <c r="C12" s="4">
        <f>100/Таблица2[[#Totals],[Протяженность(км)]]*Таблица2[[#This Row],[Протяженность(км)]]</f>
        <v>3.4429209203454914</v>
      </c>
      <c r="D12" s="4">
        <f>$D$2%*Таблица2[[#This Row],[Коэфициент]]</f>
        <v>274628.03013227845</v>
      </c>
      <c r="E12" s="1"/>
      <c r="F12" s="221"/>
      <c r="G12" s="1"/>
      <c r="H12" s="4"/>
      <c r="I12" s="221">
        <f>100/Таблица2[[#Totals],[Протяженность(км)]]*Таблица2[[#This Row],[Протяженность(км)]]</f>
        <v>3.4429209203454914</v>
      </c>
    </row>
    <row r="13" spans="1:9" x14ac:dyDescent="0.25">
      <c r="A13" s="1" t="s">
        <v>537</v>
      </c>
      <c r="B13" s="1">
        <v>12.6</v>
      </c>
      <c r="C13" s="4">
        <f>100/Таблица2[[#Totals],[Протяженность(км)]]*Таблица2[[#This Row],[Протяженность(км)]]</f>
        <v>2.6054536694506423</v>
      </c>
      <c r="D13" s="4">
        <f>$D$2%*Таблица2[[#This Row],[Коэфициент]]</f>
        <v>207826.61739739994</v>
      </c>
      <c r="E13" s="1"/>
      <c r="F13" s="221"/>
      <c r="G13" s="1"/>
      <c r="H13" s="4"/>
      <c r="I13" s="221">
        <f>100/Таблица2[[#Totals],[Протяженность(км)]]*Таблица2[[#This Row],[Протяженность(км)]]</f>
        <v>2.6054536694506423</v>
      </c>
    </row>
    <row r="14" spans="1:9" x14ac:dyDescent="0.25">
      <c r="A14" s="1" t="s">
        <v>550</v>
      </c>
      <c r="B14" s="1">
        <v>13.15</v>
      </c>
      <c r="C14" s="4">
        <f>100/Таблица2[[#Totals],[Протяженность(км)]]*Таблица2[[#This Row],[Протяженность(км)]]</f>
        <v>2.7191837899425355</v>
      </c>
      <c r="D14" s="4">
        <f>$D$2%*Таблица2[[#This Row],[Коэфициент]]</f>
        <v>216898.41418855629</v>
      </c>
      <c r="E14" s="1"/>
      <c r="F14" s="221"/>
      <c r="G14" s="1"/>
      <c r="H14" s="4"/>
      <c r="I14" s="221">
        <f>100/Таблица2[[#Totals],[Протяженность(км)]]*Таблица2[[#This Row],[Протяженность(км)]]</f>
        <v>2.7191837899425355</v>
      </c>
    </row>
    <row r="15" spans="1:9" x14ac:dyDescent="0.25">
      <c r="A15" s="1" t="s">
        <v>540</v>
      </c>
      <c r="B15" s="1">
        <v>23.4</v>
      </c>
      <c r="C15" s="4">
        <f>100/Таблица2[[#Totals],[Протяженность(км)]]*Таблица2[[#This Row],[Протяженность(км)]]</f>
        <v>4.8386996718369071</v>
      </c>
      <c r="D15" s="4">
        <f>$D$2%*Таблица2[[#This Row],[Коэфициент]]</f>
        <v>385963.71802374272</v>
      </c>
      <c r="E15" s="1"/>
      <c r="F15" s="221"/>
      <c r="G15" s="1"/>
      <c r="H15" s="4"/>
      <c r="I15" s="221">
        <f>100/Таблица2[[#Totals],[Протяженность(км)]]*Таблица2[[#This Row],[Протяженность(км)]]</f>
        <v>4.8386996718369071</v>
      </c>
    </row>
    <row r="16" spans="1:9" x14ac:dyDescent="0.25">
      <c r="A16" s="1" t="s">
        <v>546</v>
      </c>
      <c r="B16" s="1">
        <v>37</v>
      </c>
      <c r="C16" s="4">
        <f>100/Таблица2[[#Totals],[Протяженность(км)]]*Таблица2[[#This Row],[Протяженность(км)]]</f>
        <v>7.6509353785455376</v>
      </c>
      <c r="D16" s="4">
        <f>$D$2%*Таблица2[[#This Row],[Коэфициент]]</f>
        <v>610284.51140506333</v>
      </c>
      <c r="E16" s="1"/>
      <c r="F16" s="221"/>
      <c r="G16" s="1"/>
      <c r="H16" s="4"/>
      <c r="I16" s="221">
        <f>100/Таблица2[[#Totals],[Протяженность(км)]]*Таблица2[[#This Row],[Протяженность(км)]]</f>
        <v>7.6509353785455376</v>
      </c>
    </row>
    <row r="17" spans="1:9" x14ac:dyDescent="0.25">
      <c r="A17" s="1" t="s">
        <v>542</v>
      </c>
      <c r="B17" s="1">
        <v>28.251000000000001</v>
      </c>
      <c r="C17" s="4">
        <f>100/Таблица2[[#Totals],[Протяженность(км)]]*Таблица2[[#This Row],[Протяженность(км)]]</f>
        <v>5.8417993345754047</v>
      </c>
      <c r="D17" s="4">
        <f>$D$2%*Таблица2[[#This Row],[Коэфициент]]</f>
        <v>465976.96572174173</v>
      </c>
      <c r="E17" s="1"/>
      <c r="F17" s="221"/>
      <c r="G17" s="1"/>
      <c r="H17" s="4"/>
      <c r="I17" s="221">
        <f>100/Таблица2[[#Totals],[Протяженность(км)]]*Таблица2[[#This Row],[Протяженность(км)]]</f>
        <v>5.8417993345754047</v>
      </c>
    </row>
    <row r="18" spans="1:9" x14ac:dyDescent="0.25">
      <c r="A18" s="1" t="s">
        <v>541</v>
      </c>
      <c r="B18" s="1">
        <v>47.5</v>
      </c>
      <c r="C18" s="4">
        <f>100/Таблица2[[#Totals],[Протяженность(км)]]*Таблица2[[#This Row],[Протяженность(км)]]</f>
        <v>9.822146769754406</v>
      </c>
      <c r="D18" s="4">
        <f>$D$2%*Таблица2[[#This Row],[Коэфициент]]</f>
        <v>783473.35923622991</v>
      </c>
      <c r="E18" s="1"/>
      <c r="F18" s="221"/>
      <c r="G18" s="1"/>
      <c r="H18" s="4"/>
      <c r="I18" s="221">
        <f>100/Таблица2[[#Totals],[Протяженность(км)]]*Таблица2[[#This Row],[Протяженность(км)]]</f>
        <v>9.822146769754406</v>
      </c>
    </row>
    <row r="19" spans="1:9" x14ac:dyDescent="0.25">
      <c r="A19" s="1" t="s">
        <v>552</v>
      </c>
      <c r="B19" s="1">
        <v>34.591000000000001</v>
      </c>
      <c r="C19" s="4">
        <f>100/Таблица2[[#Totals],[Протяженность(км)]]*Таблица2[[#This Row],[Протяженность(км)]]</f>
        <v>7.1527974507910459</v>
      </c>
      <c r="D19" s="4">
        <f>$D$2%*Таблица2[[#This Row],[Коэфициент]]</f>
        <v>570550.04145979858</v>
      </c>
      <c r="E19" s="1"/>
      <c r="F19" s="221"/>
      <c r="G19" s="1"/>
      <c r="H19" s="4"/>
      <c r="I19" s="221">
        <f>100/Таблица2[[#Totals],[Протяженность(км)]]*Таблица2[[#This Row],[Протяженность(км)]]</f>
        <v>7.1527974507910459</v>
      </c>
    </row>
    <row r="20" spans="1:9" x14ac:dyDescent="0.25">
      <c r="A20" s="1" t="s">
        <v>562</v>
      </c>
      <c r="B20" s="1">
        <f>SUBTOTAL(109,Таблица2[Протяженность(км)])</f>
        <v>483.60099999999994</v>
      </c>
      <c r="C20" s="4">
        <f>SUBTOTAL(109,Таблица2[Коэфициент])</f>
        <v>100</v>
      </c>
      <c r="D20" s="4">
        <f>SUBTOTAL(109,Таблица2[Сумма, рублей])</f>
        <v>7976600.0000000009</v>
      </c>
      <c r="E20" s="1"/>
      <c r="F20" s="1"/>
      <c r="G20" s="1"/>
      <c r="H20" s="1"/>
      <c r="I20" s="1"/>
    </row>
    <row r="22" spans="1:9" hidden="1" x14ac:dyDescent="0.25">
      <c r="B22" s="1">
        <f>Таблица2[[#Totals],[Протяженность(км)]]+1.901+0.43</f>
        <v>485.93199999999996</v>
      </c>
    </row>
    <row r="23" spans="1:9" hidden="1" x14ac:dyDescent="0.25"/>
    <row r="24" spans="1:9" hidden="1" x14ac:dyDescent="0.25"/>
    <row r="25" spans="1:9" s="3" customFormat="1" ht="62.25" hidden="1" customHeight="1" x14ac:dyDescent="0.25">
      <c r="A25" s="2" t="s">
        <v>561</v>
      </c>
      <c r="B25" s="2" t="s">
        <v>3</v>
      </c>
      <c r="C25" s="5" t="s">
        <v>563</v>
      </c>
      <c r="D25" s="5" t="s">
        <v>564</v>
      </c>
      <c r="E25" s="2" t="s">
        <v>566</v>
      </c>
      <c r="F25" s="2" t="s">
        <v>811</v>
      </c>
      <c r="G25" s="2" t="s">
        <v>568</v>
      </c>
      <c r="H25" s="2" t="s">
        <v>794</v>
      </c>
    </row>
    <row r="26" spans="1:9" hidden="1" x14ac:dyDescent="0.25">
      <c r="A26" s="1" t="s">
        <v>548</v>
      </c>
      <c r="B26" s="1">
        <v>32.07</v>
      </c>
      <c r="C26" s="4" t="e">
        <f>100/Таблица28[[#Totals],[Протяженность(км)]]*Таблица28[[#This Row],[Протяженность(км)]]</f>
        <v>#DIV/0!</v>
      </c>
      <c r="D26" s="4" t="e">
        <f>$D$2%*Таблица28[[#This Row],[Коэфициент]]</f>
        <v>#DIV/0!</v>
      </c>
      <c r="E26" s="1">
        <v>32.07</v>
      </c>
      <c r="F26" s="221">
        <v>5.8908936602169142</v>
      </c>
      <c r="G26" s="4" t="e">
        <f>100/Таблица28[[#Totals],[Протяженность(км)]]*Таблица28[[#This Row],[Протяженность(км)]]</f>
        <v>#DIV/0!</v>
      </c>
      <c r="H26" s="4" t="e">
        <f>$D$42%*Таблица28[[#This Row],[Коэфициент]]</f>
        <v>#DIV/0!</v>
      </c>
    </row>
    <row r="27" spans="1:9" hidden="1" x14ac:dyDescent="0.25">
      <c r="A27" s="1" t="s">
        <v>549</v>
      </c>
      <c r="B27" s="1">
        <v>27.1</v>
      </c>
      <c r="C27" s="4" t="e">
        <f>100/Таблица28[[#Totals],[Протяженность(км)]]*Таблица28[[#This Row],[Протяженность(км)]]</f>
        <v>#DIV/0!</v>
      </c>
      <c r="D27" s="4" t="e">
        <f>$D$2%*Таблица28[[#This Row],[Коэфициент]]</f>
        <v>#DIV/0!</v>
      </c>
      <c r="E27" s="1">
        <v>27.1</v>
      </c>
      <c r="F27" s="221">
        <v>5.6371192864363842</v>
      </c>
      <c r="G27" s="1"/>
      <c r="H27" s="4" t="e">
        <f>$D$42%*Таблица28[[#This Row],[Коэфициент]]</f>
        <v>#DIV/0!</v>
      </c>
    </row>
    <row r="28" spans="1:9" hidden="1" x14ac:dyDescent="0.25">
      <c r="A28" s="1" t="s">
        <v>539</v>
      </c>
      <c r="B28" s="1">
        <v>59.085999999999999</v>
      </c>
      <c r="C28" s="4" t="e">
        <f>100/Таблица28[[#Totals],[Протяженность(км)]]*Таблица28[[#This Row],[Протяженность(км)]]</f>
        <v>#DIV/0!</v>
      </c>
      <c r="D28" s="4" t="e">
        <f>$D$2%*Таблица28[[#This Row],[Коэфициент]]</f>
        <v>#DIV/0!</v>
      </c>
      <c r="E28" s="1">
        <v>59.085999999999999</v>
      </c>
      <c r="F28" s="221">
        <v>12.168689234558242</v>
      </c>
      <c r="G28" s="1"/>
      <c r="H28" s="4" t="e">
        <f>$D$42%*Таблица28[[#This Row],[Коэфициент]]</f>
        <v>#DIV/0!</v>
      </c>
    </row>
    <row r="29" spans="1:9" hidden="1" x14ac:dyDescent="0.25">
      <c r="A29" s="1" t="s">
        <v>543</v>
      </c>
      <c r="B29" s="1">
        <v>33.1</v>
      </c>
      <c r="C29" s="4" t="e">
        <f>100/Таблица28[[#Totals],[Протяженность(км)]]*Таблица28[[#This Row],[Протяженность(км)]]</f>
        <v>#DIV/0!</v>
      </c>
      <c r="D29" s="4" t="e">
        <f>$D$2%*Таблица28[[#This Row],[Коэфициент]]</f>
        <v>#DIV/0!</v>
      </c>
      <c r="E29" s="1">
        <v>33.1</v>
      </c>
      <c r="F29" s="221">
        <v>6.8227864426241096</v>
      </c>
      <c r="G29" s="1"/>
      <c r="H29" s="4" t="e">
        <f>$D$42%*Таблица28[[#This Row],[Коэфициент]]</f>
        <v>#DIV/0!</v>
      </c>
    </row>
    <row r="30" spans="1:9" hidden="1" x14ac:dyDescent="0.25">
      <c r="A30" s="1" t="s">
        <v>544</v>
      </c>
      <c r="B30" s="1">
        <v>16.445</v>
      </c>
      <c r="C30" s="4" t="e">
        <f>100/Таблица28[[#Totals],[Протяженность(км)]]*Таблица28[[#This Row],[Протяженность(км)]]</f>
        <v>#DIV/0!</v>
      </c>
      <c r="D30" s="4" t="e">
        <f>$D$2%*Таблица28[[#This Row],[Коэфициент]]</f>
        <v>#DIV/0!</v>
      </c>
      <c r="E30" s="1">
        <v>16.445</v>
      </c>
      <c r="F30" s="221">
        <v>3.889820319422892</v>
      </c>
      <c r="G30" s="1"/>
      <c r="H30" s="4" t="e">
        <f>$D$42%*Таблица28[[#This Row],[Коэфициент]]</f>
        <v>#DIV/0!</v>
      </c>
    </row>
    <row r="31" spans="1:9" hidden="1" x14ac:dyDescent="0.25">
      <c r="A31" s="1" t="s">
        <v>551</v>
      </c>
      <c r="B31" s="1">
        <v>22.92</v>
      </c>
      <c r="C31" s="4" t="e">
        <f>100/Таблица28[[#Totals],[Протяженность(км)]]*Таблица28[[#This Row],[Протяженность(км)]]</f>
        <v>#DIV/0!</v>
      </c>
      <c r="D31" s="4" t="e">
        <f>$D$2%*Таблица28[[#This Row],[Коэфициент]]</f>
        <v>#DIV/0!</v>
      </c>
      <c r="E31" s="1">
        <v>22.92</v>
      </c>
      <c r="F31" s="221">
        <v>4.6802650902147098</v>
      </c>
      <c r="G31" s="1"/>
      <c r="H31" s="4" t="e">
        <f>$D$42%*Таблица28[[#This Row],[Коэфициент]]</f>
        <v>#DIV/0!</v>
      </c>
    </row>
    <row r="32" spans="1:9" hidden="1" x14ac:dyDescent="0.25">
      <c r="A32" s="1" t="s">
        <v>545</v>
      </c>
      <c r="B32" s="1">
        <v>46.52</v>
      </c>
      <c r="C32" s="4" t="e">
        <f>100/Таблица28[[#Totals],[Протяженность(км)]]*Таблица28[[#This Row],[Протяженность(км)]]</f>
        <v>#DIV/0!</v>
      </c>
      <c r="D32" s="4" t="e">
        <f>$D$2%*Таблица28[[#This Row],[Коэфициент]]</f>
        <v>#DIV/0!</v>
      </c>
      <c r="E32" s="1">
        <v>46.52</v>
      </c>
      <c r="F32" s="221">
        <v>9.6070241418473969</v>
      </c>
      <c r="G32" s="1"/>
      <c r="H32" s="4" t="e">
        <f>$D$42%*Таблица28[[#This Row],[Коэфициент]]</f>
        <v>#DIV/0!</v>
      </c>
    </row>
    <row r="33" spans="1:8" hidden="1" x14ac:dyDescent="0.25">
      <c r="A33" s="1" t="s">
        <v>538</v>
      </c>
      <c r="B33" s="1">
        <v>33.218000000000004</v>
      </c>
      <c r="C33" s="4" t="e">
        <f>100/Таблица28[[#Totals],[Протяженность(км)]]*Таблица28[[#This Row],[Протяженность(км)]]</f>
        <v>#DIV/0!</v>
      </c>
      <c r="D33" s="4" t="e">
        <f>$D$2%*Таблица28[[#This Row],[Коэфициент]]</f>
        <v>#DIV/0!</v>
      </c>
      <c r="E33" s="1">
        <v>33.218000000000004</v>
      </c>
      <c r="F33" s="221">
        <v>6.9097353674112112</v>
      </c>
      <c r="G33" s="1"/>
      <c r="H33" s="4" t="e">
        <f>$D$42%*Таблица28[[#This Row],[Коэфициент]]</f>
        <v>#DIV/0!</v>
      </c>
    </row>
    <row r="34" spans="1:8" hidden="1" x14ac:dyDescent="0.25">
      <c r="A34" s="1" t="s">
        <v>547</v>
      </c>
      <c r="B34" s="1">
        <v>16.649999999999999</v>
      </c>
      <c r="C34" s="4" t="e">
        <f>100/Таблица28[[#Totals],[Протяженность(км)]]*Таблица28[[#This Row],[Протяженность(км)]]</f>
        <v>#DIV/0!</v>
      </c>
      <c r="D34" s="4" t="e">
        <f>$D$2%*Таблица28[[#This Row],[Коэфициент]]</f>
        <v>#DIV/0!</v>
      </c>
      <c r="E34" s="1">
        <v>16.649999999999999</v>
      </c>
      <c r="F34" s="221">
        <v>3.4633961667588848</v>
      </c>
      <c r="G34" s="1"/>
      <c r="H34" s="4" t="e">
        <f>$D$42%*Таблица28[[#This Row],[Коэфициент]]</f>
        <v>#DIV/0!</v>
      </c>
    </row>
    <row r="35" spans="1:8" hidden="1" x14ac:dyDescent="0.25">
      <c r="A35" s="1" t="s">
        <v>537</v>
      </c>
      <c r="B35" s="1">
        <v>12.6</v>
      </c>
      <c r="C35" s="4" t="e">
        <f>100/Таблица28[[#Totals],[Протяженность(км)]]*Таблица28[[#This Row],[Протяженность(км)]]</f>
        <v>#DIV/0!</v>
      </c>
      <c r="D35" s="4" t="e">
        <f>$D$2%*Таблица28[[#This Row],[Коэфициент]]</f>
        <v>#DIV/0!</v>
      </c>
      <c r="E35" s="1">
        <v>12.6</v>
      </c>
      <c r="F35" s="221">
        <v>2.6209484505202374</v>
      </c>
      <c r="G35" s="1"/>
      <c r="H35" s="4" t="e">
        <f>$D$42%*Таблица28[[#This Row],[Коэфициент]]</f>
        <v>#DIV/0!</v>
      </c>
    </row>
    <row r="36" spans="1:8" hidden="1" x14ac:dyDescent="0.25">
      <c r="A36" s="1" t="s">
        <v>550</v>
      </c>
      <c r="B36" s="1">
        <v>13.15</v>
      </c>
      <c r="C36" s="4" t="e">
        <f>100/Таблица28[[#Totals],[Протяженность(км)]]*Таблица28[[#This Row],[Протяженность(км)]]</f>
        <v>#DIV/0!</v>
      </c>
      <c r="D36" s="4" t="e">
        <f>$D$2%*Таблица28[[#This Row],[Коэфициент]]</f>
        <v>#DIV/0!</v>
      </c>
      <c r="E36" s="1">
        <v>13.15</v>
      </c>
      <c r="F36" s="221">
        <v>2.7041531632351656</v>
      </c>
      <c r="G36" s="1"/>
      <c r="H36" s="4" t="e">
        <f>$D$42%*Таблица28[[#This Row],[Коэфициент]]</f>
        <v>#DIV/0!</v>
      </c>
    </row>
    <row r="37" spans="1:8" hidden="1" x14ac:dyDescent="0.25">
      <c r="A37" s="1" t="s">
        <v>540</v>
      </c>
      <c r="B37" s="1">
        <v>23.4</v>
      </c>
      <c r="C37" s="4" t="e">
        <f>100/Таблица28[[#Totals],[Протяженность(км)]]*Таблица28[[#This Row],[Протяженность(км)]]</f>
        <v>#DIV/0!</v>
      </c>
      <c r="D37" s="4" t="e">
        <f>$D$2%*Таблица28[[#This Row],[Коэфициент]]</f>
        <v>#DIV/0!</v>
      </c>
      <c r="E37" s="1">
        <v>23.4</v>
      </c>
      <c r="F37" s="221">
        <v>4.8674756938232981</v>
      </c>
      <c r="G37" s="1"/>
      <c r="H37" s="4" t="e">
        <f>$D$42%*Таблица28[[#This Row],[Коэфициент]]</f>
        <v>#DIV/0!</v>
      </c>
    </row>
    <row r="38" spans="1:8" hidden="1" x14ac:dyDescent="0.25">
      <c r="A38" s="1" t="s">
        <v>546</v>
      </c>
      <c r="B38" s="1">
        <v>37</v>
      </c>
      <c r="C38" s="4" t="e">
        <f>100/Таблица28[[#Totals],[Протяженность(км)]]*Таблица28[[#This Row],[Протяженность(км)]]</f>
        <v>#DIV/0!</v>
      </c>
      <c r="D38" s="4" t="e">
        <f>$D$2%*Таблица28[[#This Row],[Коэфициент]]</f>
        <v>#DIV/0!</v>
      </c>
      <c r="E38" s="1">
        <v>37</v>
      </c>
      <c r="F38" s="221">
        <v>8.3204712714928171</v>
      </c>
      <c r="G38" s="1"/>
      <c r="H38" s="4" t="e">
        <f>$D$42%*Таблица28[[#This Row],[Коэфициент]]</f>
        <v>#DIV/0!</v>
      </c>
    </row>
    <row r="39" spans="1:8" hidden="1" x14ac:dyDescent="0.25">
      <c r="A39" s="1" t="s">
        <v>542</v>
      </c>
      <c r="B39" s="1">
        <v>28.251000000000001</v>
      </c>
      <c r="C39" s="4" t="e">
        <f>100/Таблица28[[#Totals],[Протяженность(км)]]*Таблица28[[#This Row],[Протяженность(км)]]</f>
        <v>#DIV/0!</v>
      </c>
      <c r="D39" s="4" t="e">
        <f>$D$2%*Таблица28[[#This Row],[Коэфициент]]</f>
        <v>#DIV/0!</v>
      </c>
      <c r="E39" s="1">
        <v>28.251000000000001</v>
      </c>
      <c r="F39" s="221">
        <v>5.4811104500958949</v>
      </c>
      <c r="G39" s="1"/>
      <c r="H39" s="4" t="e">
        <f>$D$42%*Таблица28[[#This Row],[Коэфициент]]</f>
        <v>#DIV/0!</v>
      </c>
    </row>
    <row r="40" spans="1:8" hidden="1" x14ac:dyDescent="0.25">
      <c r="A40" s="1" t="s">
        <v>541</v>
      </c>
      <c r="B40" s="1">
        <v>47.5</v>
      </c>
      <c r="C40" s="4" t="e">
        <f>100/Таблица28[[#Totals],[Протяженность(км)]]*Таблица28[[#This Row],[Протяженность(км)]]</f>
        <v>#DIV/0!</v>
      </c>
      <c r="D40" s="4" t="e">
        <f>$D$2%*Таблица28[[#This Row],[Коэфициент]]</f>
        <v>#DIV/0!</v>
      </c>
      <c r="E40" s="1">
        <v>47.5</v>
      </c>
      <c r="F40" s="221">
        <v>9.88055963489772</v>
      </c>
      <c r="G40" s="1"/>
      <c r="H40" s="4" t="e">
        <f>$D$42%*Таблица28[[#This Row],[Коэфициент]]</f>
        <v>#DIV/0!</v>
      </c>
    </row>
    <row r="41" spans="1:8" hidden="1" x14ac:dyDescent="0.25">
      <c r="A41" s="1" t="s">
        <v>552</v>
      </c>
      <c r="B41" s="1">
        <v>34.591000000000001</v>
      </c>
      <c r="C41" s="4" t="e">
        <f>100/Таблица28[[#Totals],[Протяженность(км)]]*Таблица28[[#This Row],[Протяженность(км)]]</f>
        <v>#DIV/0!</v>
      </c>
      <c r="D41" s="4" t="e">
        <f>$D$2%*Таблица28[[#This Row],[Коэфициент]]</f>
        <v>#DIV/0!</v>
      </c>
      <c r="E41" s="1">
        <v>34.591000000000001</v>
      </c>
      <c r="F41" s="221">
        <v>7.0555516264441209</v>
      </c>
      <c r="G41" s="1">
        <v>38.058</v>
      </c>
      <c r="H41" s="4" t="e">
        <f>$D$42%*Таблица28[[#This Row],[Коэфициент]]</f>
        <v>#DIV/0!</v>
      </c>
    </row>
    <row r="42" spans="1:8" hidden="1" x14ac:dyDescent="0.25">
      <c r="A42" s="1" t="s">
        <v>562</v>
      </c>
      <c r="B42" s="1">
        <f>SUBTOTAL(109,Таблица28[Протяженность(км)])</f>
        <v>0</v>
      </c>
      <c r="C42" s="4">
        <f>SUBTOTAL(109,Таблица28[Коэфициент])</f>
        <v>0</v>
      </c>
      <c r="D42" s="4">
        <f>SUBTOTAL(109,Таблица28[Сумма, рублей])</f>
        <v>0</v>
      </c>
      <c r="E42" s="1">
        <f>SUBTOTAL(109,Таблица28[Столбец1])</f>
        <v>0</v>
      </c>
      <c r="F42" s="1"/>
      <c r="G42" s="1"/>
      <c r="H42" s="1"/>
    </row>
    <row r="43" spans="1:8" hidden="1" x14ac:dyDescent="0.25"/>
    <row r="44" spans="1:8" hidden="1" x14ac:dyDescent="0.25"/>
    <row r="45" spans="1:8" hidden="1" x14ac:dyDescent="0.25"/>
  </sheetData>
  <phoneticPr fontId="1" type="noConversion"/>
  <pageMargins left="0.7" right="0.7" top="0.75" bottom="0.75" header="0.3" footer="0.3"/>
  <pageSetup paperSize="9" orientation="landscape" r:id="rId1"/>
  <tableParts count="2">
    <tablePart r:id="rId2"/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10AAE-4B4F-4D69-9AFE-749E8C87AF2A}">
  <sheetPr>
    <pageSetUpPr fitToPage="1"/>
  </sheetPr>
  <dimension ref="A1:AG297"/>
  <sheetViews>
    <sheetView view="pageBreakPreview" zoomScale="60" zoomScaleNormal="100" workbookViewId="0">
      <pane ySplit="1" topLeftCell="A73" activePane="bottomLeft" state="frozen"/>
      <selection pane="bottomLeft" activeCell="C107" sqref="C107"/>
    </sheetView>
  </sheetViews>
  <sheetFormatPr defaultColWidth="26.7109375" defaultRowHeight="23.25" x14ac:dyDescent="0.35"/>
  <cols>
    <col min="1" max="1" width="8.42578125" style="8" customWidth="1"/>
    <col min="2" max="2" width="30.28515625" style="8" customWidth="1"/>
    <col min="3" max="3" width="74.42578125" style="8" customWidth="1"/>
    <col min="4" max="4" width="27.42578125" style="8" customWidth="1"/>
    <col min="5" max="5" width="23.7109375" style="15" customWidth="1"/>
    <col min="6" max="6" width="15.28515625" style="8" customWidth="1"/>
    <col min="7" max="7" width="14.85546875" style="15" customWidth="1"/>
    <col min="8" max="8" width="20" style="8" customWidth="1"/>
    <col min="9" max="9" width="17.28515625" style="15" customWidth="1"/>
    <col min="10" max="10" width="14" style="169" hidden="1" customWidth="1"/>
    <col min="11" max="11" width="18.7109375" style="8" hidden="1" customWidth="1"/>
    <col min="12" max="13" width="17.7109375" style="8" hidden="1" customWidth="1"/>
    <col min="14" max="14" width="28.5703125" style="8" hidden="1" customWidth="1"/>
    <col min="15" max="32" width="0" style="8" hidden="1" customWidth="1"/>
    <col min="33" max="16384" width="26.7109375" style="8"/>
  </cols>
  <sheetData>
    <row r="1" spans="1:33" ht="238.5" customHeight="1" x14ac:dyDescent="0.35">
      <c r="E1" s="412" t="s">
        <v>820</v>
      </c>
      <c r="F1" s="412"/>
      <c r="G1" s="412"/>
      <c r="H1" s="412"/>
      <c r="I1" s="412"/>
      <c r="AG1" s="259"/>
    </row>
    <row r="2" spans="1:33" ht="45" x14ac:dyDescent="0.35">
      <c r="A2" s="6" t="s">
        <v>0</v>
      </c>
      <c r="B2" s="6" t="s">
        <v>1</v>
      </c>
      <c r="C2" s="6" t="s">
        <v>2</v>
      </c>
      <c r="D2" s="6" t="s">
        <v>536</v>
      </c>
      <c r="E2" s="6" t="s">
        <v>3</v>
      </c>
      <c r="F2" s="7" t="s">
        <v>528</v>
      </c>
      <c r="G2" s="7" t="s">
        <v>529</v>
      </c>
      <c r="H2" s="7" t="s">
        <v>527</v>
      </c>
      <c r="I2" s="7" t="s">
        <v>535</v>
      </c>
      <c r="J2" s="164" t="s">
        <v>799</v>
      </c>
      <c r="K2" s="7" t="s">
        <v>556</v>
      </c>
      <c r="L2" s="7" t="s">
        <v>559</v>
      </c>
      <c r="M2" s="7" t="s">
        <v>798</v>
      </c>
      <c r="N2" s="7" t="s">
        <v>565</v>
      </c>
      <c r="O2" s="7" t="s">
        <v>566</v>
      </c>
      <c r="P2" s="7" t="s">
        <v>568</v>
      </c>
      <c r="Q2" s="7" t="s">
        <v>794</v>
      </c>
      <c r="R2" s="7" t="s">
        <v>795</v>
      </c>
      <c r="S2" s="231" t="s">
        <v>805</v>
      </c>
      <c r="T2" s="231" t="s">
        <v>806</v>
      </c>
    </row>
    <row r="3" spans="1:33" s="234" customFormat="1" x14ac:dyDescent="0.35">
      <c r="A3" s="146">
        <v>1</v>
      </c>
      <c r="B3" s="146" t="s">
        <v>4</v>
      </c>
      <c r="C3" s="146" t="s">
        <v>5</v>
      </c>
      <c r="D3" s="146" t="s">
        <v>547</v>
      </c>
      <c r="E3" s="254">
        <f>Таблица19[[#This Row],[Грунт]]+Таблица19[[#This Row],[Щебень]]+Таблица19[[#This Row],[Асфальт]]+Таблица19[[#This Row],[Бетон]]</f>
        <v>1.75</v>
      </c>
      <c r="F3" s="243"/>
      <c r="G3" s="140"/>
      <c r="H3" s="249">
        <v>1.75</v>
      </c>
      <c r="I3" s="139"/>
      <c r="J3" s="232"/>
      <c r="K3" s="233" t="s">
        <v>557</v>
      </c>
      <c r="N3" s="234" t="b">
        <f>OR(Таблица19[[#This Row],[Щебень]]&gt;0,Таблица19[[#This Row],[Асфальт]]&gt;0,Таблица19[[#This Row],[Бетон]]&gt;0)</f>
        <v>1</v>
      </c>
      <c r="O3" s="234">
        <v>1</v>
      </c>
      <c r="P3" s="234">
        <v>1</v>
      </c>
      <c r="Q3" s="234">
        <v>1</v>
      </c>
      <c r="S3" s="235"/>
      <c r="T3" s="235"/>
    </row>
    <row r="4" spans="1:33" s="234" customFormat="1" x14ac:dyDescent="0.35">
      <c r="A4" s="146">
        <v>2</v>
      </c>
      <c r="B4" s="146" t="s">
        <v>6</v>
      </c>
      <c r="C4" s="146" t="s">
        <v>7</v>
      </c>
      <c r="D4" s="146" t="s">
        <v>547</v>
      </c>
      <c r="E4" s="254">
        <f>Таблица19[[#This Row],[Грунт]]+Таблица19[[#This Row],[Щебень]]+Таблица19[[#This Row],[Асфальт]]+Таблица19[[#This Row],[Бетон]]</f>
        <v>0.7</v>
      </c>
      <c r="F4" s="243"/>
      <c r="G4" s="140"/>
      <c r="H4" s="249">
        <v>0.7</v>
      </c>
      <c r="I4" s="139"/>
      <c r="J4" s="232"/>
      <c r="K4" s="233" t="s">
        <v>557</v>
      </c>
      <c r="N4" s="234" t="b">
        <f>OR(Таблица19[[#This Row],[Щебень]]&gt;0,Таблица19[[#This Row],[Асфальт]]&gt;0,Таблица19[[#This Row],[Бетон]]&gt;0)</f>
        <v>1</v>
      </c>
      <c r="O4" s="234">
        <v>1</v>
      </c>
      <c r="P4" s="234">
        <v>1</v>
      </c>
      <c r="Q4" s="234">
        <v>2</v>
      </c>
      <c r="S4" s="235"/>
      <c r="T4" s="235"/>
    </row>
    <row r="5" spans="1:33" s="234" customFormat="1" x14ac:dyDescent="0.35">
      <c r="A5" s="146">
        <v>3</v>
      </c>
      <c r="B5" s="146" t="s">
        <v>8</v>
      </c>
      <c r="C5" s="146" t="s">
        <v>9</v>
      </c>
      <c r="D5" s="146" t="s">
        <v>547</v>
      </c>
      <c r="E5" s="254">
        <f>Таблица19[[#This Row],[Грунт]]+Таблица19[[#This Row],[Щебень]]+Таблица19[[#This Row],[Асфальт]]+Таблица19[[#This Row],[Бетон]]</f>
        <v>0.8</v>
      </c>
      <c r="F5" s="243">
        <v>0.8</v>
      </c>
      <c r="G5" s="140"/>
      <c r="H5" s="249"/>
      <c r="I5" s="139"/>
      <c r="J5" s="232"/>
      <c r="N5" s="234" t="b">
        <f>OR(Таблица19[[#This Row],[Щебень]]&gt;0,Таблица19[[#This Row],[Асфальт]]&gt;0,Таблица19[[#This Row],[Бетон]]&gt;0)</f>
        <v>0</v>
      </c>
      <c r="Q5" s="234">
        <v>3</v>
      </c>
      <c r="S5" s="235"/>
      <c r="T5" s="235"/>
    </row>
    <row r="6" spans="1:33" s="234" customFormat="1" x14ac:dyDescent="0.35">
      <c r="A6" s="146">
        <v>4</v>
      </c>
      <c r="B6" s="146" t="s">
        <v>10</v>
      </c>
      <c r="C6" s="146" t="s">
        <v>11</v>
      </c>
      <c r="D6" s="146" t="s">
        <v>547</v>
      </c>
      <c r="E6" s="254">
        <f>Таблица19[[#This Row],[Грунт]]+Таблица19[[#This Row],[Щебень]]+Таблица19[[#This Row],[Асфальт]]+Таблица19[[#This Row],[Бетон]]</f>
        <v>0.2</v>
      </c>
      <c r="F6" s="243">
        <v>0.2</v>
      </c>
      <c r="G6" s="140"/>
      <c r="H6" s="249"/>
      <c r="I6" s="139"/>
      <c r="J6" s="232"/>
      <c r="N6" s="234" t="b">
        <f>OR(Таблица19[[#This Row],[Щебень]]&gt;0,Таблица19[[#This Row],[Асфальт]]&gt;0,Таблица19[[#This Row],[Бетон]]&gt;0)</f>
        <v>0</v>
      </c>
      <c r="Q6" s="234">
        <v>4</v>
      </c>
      <c r="S6" s="235"/>
      <c r="T6" s="235"/>
    </row>
    <row r="7" spans="1:33" s="234" customFormat="1" x14ac:dyDescent="0.35">
      <c r="A7" s="146">
        <v>5</v>
      </c>
      <c r="B7" s="146" t="s">
        <v>12</v>
      </c>
      <c r="C7" s="146" t="s">
        <v>13</v>
      </c>
      <c r="D7" s="146" t="s">
        <v>537</v>
      </c>
      <c r="E7" s="254">
        <f>Таблица19[[#This Row],[Грунт]]+Таблица19[[#This Row],[Щебень]]+Таблица19[[#This Row],[Асфальт]]+Таблица19[[#This Row],[Бетон]]</f>
        <v>2</v>
      </c>
      <c r="F7" s="243">
        <v>2</v>
      </c>
      <c r="G7" s="140"/>
      <c r="H7" s="249"/>
      <c r="I7" s="139"/>
      <c r="J7" s="232"/>
      <c r="K7" s="233" t="s">
        <v>557</v>
      </c>
      <c r="N7" s="234" t="b">
        <f>OR(Таблица19[[#This Row],[Щебень]]&gt;0,Таблица19[[#This Row],[Асфальт]]&gt;0,Таблица19[[#This Row],[Бетон]]&gt;0)</f>
        <v>0</v>
      </c>
      <c r="Q7" s="234">
        <v>5</v>
      </c>
      <c r="S7" s="235"/>
      <c r="T7" s="235"/>
    </row>
    <row r="8" spans="1:33" s="234" customFormat="1" x14ac:dyDescent="0.35">
      <c r="A8" s="146">
        <v>6</v>
      </c>
      <c r="B8" s="146" t="s">
        <v>14</v>
      </c>
      <c r="C8" s="146" t="s">
        <v>555</v>
      </c>
      <c r="D8" s="146" t="s">
        <v>537</v>
      </c>
      <c r="E8" s="254">
        <f>Таблица19[[#This Row],[Грунт]]+Таблица19[[#This Row],[Щебень]]+Таблица19[[#This Row],[Асфальт]]+Таблица19[[#This Row],[Бетон]]</f>
        <v>3.5</v>
      </c>
      <c r="F8" s="243">
        <v>3.5</v>
      </c>
      <c r="G8" s="140"/>
      <c r="H8" s="249"/>
      <c r="I8" s="139"/>
      <c r="J8" s="232"/>
      <c r="N8" s="234" t="b">
        <f>OR(Таблица19[[#This Row],[Щебень]]&gt;0,Таблица19[[#This Row],[Асфальт]]&gt;0,Таблица19[[#This Row],[Бетон]]&gt;0)</f>
        <v>0</v>
      </c>
      <c r="Q8" s="234">
        <v>6</v>
      </c>
      <c r="S8" s="235"/>
      <c r="T8" s="235"/>
    </row>
    <row r="9" spans="1:33" s="234" customFormat="1" x14ac:dyDescent="0.35">
      <c r="A9" s="146">
        <v>7</v>
      </c>
      <c r="B9" s="146" t="s">
        <v>15</v>
      </c>
      <c r="C9" s="146" t="s">
        <v>16</v>
      </c>
      <c r="D9" s="146" t="s">
        <v>549</v>
      </c>
      <c r="E9" s="254">
        <f>Таблица19[[#This Row],[Грунт]]+Таблица19[[#This Row],[Щебень]]+Таблица19[[#This Row],[Асфальт]]+Таблица19[[#This Row],[Бетон]]</f>
        <v>3.5</v>
      </c>
      <c r="F9" s="243">
        <v>3.5</v>
      </c>
      <c r="G9" s="140"/>
      <c r="H9" s="249"/>
      <c r="I9" s="139"/>
      <c r="J9" s="232"/>
      <c r="N9" s="234" t="b">
        <f>OR(Таблица19[[#This Row],[Щебень]]&gt;0,Таблица19[[#This Row],[Асфальт]]&gt;0,Таблица19[[#This Row],[Бетон]]&gt;0)</f>
        <v>0</v>
      </c>
      <c r="Q9" s="234">
        <v>7</v>
      </c>
      <c r="S9" s="235"/>
      <c r="T9" s="235"/>
    </row>
    <row r="10" spans="1:33" s="234" customFormat="1" ht="46.5" x14ac:dyDescent="0.35">
      <c r="A10" s="146">
        <v>8</v>
      </c>
      <c r="B10" s="146" t="s">
        <v>17</v>
      </c>
      <c r="C10" s="146" t="s">
        <v>18</v>
      </c>
      <c r="D10" s="146" t="s">
        <v>549</v>
      </c>
      <c r="E10" s="254">
        <f>Таблица19[[#This Row],[Грунт]]+Таблица19[[#This Row],[Щебень]]+Таблица19[[#This Row],[Асфальт]]+Таблица19[[#This Row],[Бетон]]</f>
        <v>1.5</v>
      </c>
      <c r="F10" s="243">
        <v>1.5</v>
      </c>
      <c r="G10" s="140"/>
      <c r="H10" s="249"/>
      <c r="I10" s="139"/>
      <c r="J10" s="232"/>
      <c r="N10" s="234" t="b">
        <f>OR(Таблица19[[#This Row],[Щебень]]&gt;0,Таблица19[[#This Row],[Асфальт]]&gt;0,Таблица19[[#This Row],[Бетон]]&gt;0)</f>
        <v>0</v>
      </c>
      <c r="Q10" s="234">
        <v>8</v>
      </c>
      <c r="S10" s="235"/>
      <c r="T10" s="235"/>
    </row>
    <row r="11" spans="1:33" s="234" customFormat="1" x14ac:dyDescent="0.35">
      <c r="A11" s="146">
        <v>9</v>
      </c>
      <c r="B11" s="146" t="s">
        <v>19</v>
      </c>
      <c r="C11" s="146" t="s">
        <v>20</v>
      </c>
      <c r="D11" s="146" t="s">
        <v>549</v>
      </c>
      <c r="E11" s="254">
        <f>Таблица19[[#This Row],[Грунт]]+Таблица19[[#This Row],[Щебень]]+Таблица19[[#This Row],[Асфальт]]+Таблица19[[#This Row],[Бетон]]</f>
        <v>1.5</v>
      </c>
      <c r="F11" s="243">
        <v>1.5</v>
      </c>
      <c r="G11" s="140"/>
      <c r="H11" s="249"/>
      <c r="I11" s="139"/>
      <c r="J11" s="232"/>
      <c r="N11" s="234" t="b">
        <f>OR(Таблица19[[#This Row],[Щебень]]&gt;0,Таблица19[[#This Row],[Асфальт]]&gt;0,Таблица19[[#This Row],[Бетон]]&gt;0)</f>
        <v>0</v>
      </c>
      <c r="Q11" s="234">
        <v>9</v>
      </c>
      <c r="S11" s="235"/>
      <c r="T11" s="235"/>
    </row>
    <row r="12" spans="1:33" s="234" customFormat="1" x14ac:dyDescent="0.35">
      <c r="A12" s="146">
        <v>10</v>
      </c>
      <c r="B12" s="146" t="s">
        <v>21</v>
      </c>
      <c r="C12" s="146" t="s">
        <v>22</v>
      </c>
      <c r="D12" s="146" t="s">
        <v>549</v>
      </c>
      <c r="E12" s="254">
        <f>Таблица19[[#This Row],[Грунт]]+Таблица19[[#This Row],[Щебень]]+Таблица19[[#This Row],[Асфальт]]+Таблица19[[#This Row],[Бетон]]</f>
        <v>1</v>
      </c>
      <c r="F12" s="243">
        <v>1</v>
      </c>
      <c r="G12" s="140"/>
      <c r="H12" s="249"/>
      <c r="I12" s="139"/>
      <c r="J12" s="232"/>
      <c r="N12" s="234" t="b">
        <f>OR(Таблица19[[#This Row],[Щебень]]&gt;0,Таблица19[[#This Row],[Асфальт]]&gt;0,Таблица19[[#This Row],[Бетон]]&gt;0)</f>
        <v>0</v>
      </c>
      <c r="Q12" s="234">
        <v>10</v>
      </c>
      <c r="S12" s="235"/>
      <c r="T12" s="235"/>
    </row>
    <row r="13" spans="1:33" s="234" customFormat="1" x14ac:dyDescent="0.35">
      <c r="A13" s="146">
        <v>11</v>
      </c>
      <c r="B13" s="146" t="s">
        <v>23</v>
      </c>
      <c r="C13" s="146" t="s">
        <v>24</v>
      </c>
      <c r="D13" s="146" t="s">
        <v>549</v>
      </c>
      <c r="E13" s="254">
        <f>Таблица19[[#This Row],[Грунт]]+Таблица19[[#This Row],[Щебень]]+Таблица19[[#This Row],[Асфальт]]+Таблица19[[#This Row],[Бетон]]</f>
        <v>0.5</v>
      </c>
      <c r="F13" s="243">
        <v>0.5</v>
      </c>
      <c r="G13" s="140"/>
      <c r="H13" s="249"/>
      <c r="I13" s="139"/>
      <c r="J13" s="232"/>
      <c r="N13" s="234" t="b">
        <f>OR(Таблица19[[#This Row],[Щебень]]&gt;0,Таблица19[[#This Row],[Асфальт]]&gt;0,Таблица19[[#This Row],[Бетон]]&gt;0)</f>
        <v>0</v>
      </c>
      <c r="Q13" s="234">
        <v>11</v>
      </c>
      <c r="S13" s="235"/>
      <c r="T13" s="235"/>
    </row>
    <row r="14" spans="1:33" s="234" customFormat="1" x14ac:dyDescent="0.35">
      <c r="A14" s="146">
        <v>12</v>
      </c>
      <c r="B14" s="146" t="s">
        <v>25</v>
      </c>
      <c r="C14" s="146" t="s">
        <v>26</v>
      </c>
      <c r="D14" s="146" t="s">
        <v>549</v>
      </c>
      <c r="E14" s="254">
        <f>Таблица19[[#This Row],[Грунт]]+Таблица19[[#This Row],[Щебень]]+Таблица19[[#This Row],[Асфальт]]+Таблица19[[#This Row],[Бетон]]</f>
        <v>3.5</v>
      </c>
      <c r="F14" s="243">
        <v>3.5</v>
      </c>
      <c r="G14" s="140"/>
      <c r="H14" s="249"/>
      <c r="I14" s="139"/>
      <c r="J14" s="232"/>
      <c r="N14" s="234" t="b">
        <f>OR(Таблица19[[#This Row],[Щебень]]&gt;0,Таблица19[[#This Row],[Асфальт]]&gt;0,Таблица19[[#This Row],[Бетон]]&gt;0)</f>
        <v>0</v>
      </c>
      <c r="Q14" s="234">
        <v>12</v>
      </c>
      <c r="S14" s="235"/>
      <c r="T14" s="235"/>
    </row>
    <row r="15" spans="1:33" s="234" customFormat="1" x14ac:dyDescent="0.35">
      <c r="A15" s="146">
        <v>13</v>
      </c>
      <c r="B15" s="146" t="s">
        <v>27</v>
      </c>
      <c r="C15" s="146" t="s">
        <v>28</v>
      </c>
      <c r="D15" s="146" t="s">
        <v>544</v>
      </c>
      <c r="E15" s="254">
        <f>Таблица19[[#This Row],[Грунт]]+Таблица19[[#This Row],[Щебень]]+Таблица19[[#This Row],[Асфальт]]+Таблица19[[#This Row],[Бетон]]</f>
        <v>2</v>
      </c>
      <c r="F15" s="243">
        <v>2</v>
      </c>
      <c r="G15" s="140"/>
      <c r="H15" s="249"/>
      <c r="I15" s="139"/>
      <c r="J15" s="232"/>
      <c r="N15" s="234" t="b">
        <f>OR(Таблица19[[#This Row],[Щебень]]&gt;0,Таблица19[[#This Row],[Асфальт]]&gt;0,Таблица19[[#This Row],[Бетон]]&gt;0)</f>
        <v>0</v>
      </c>
      <c r="Q15" s="234">
        <v>13</v>
      </c>
      <c r="S15" s="235"/>
      <c r="T15" s="235"/>
    </row>
    <row r="16" spans="1:33" s="234" customFormat="1" x14ac:dyDescent="0.35">
      <c r="A16" s="146">
        <v>14</v>
      </c>
      <c r="B16" s="146" t="s">
        <v>29</v>
      </c>
      <c r="C16" s="146" t="s">
        <v>30</v>
      </c>
      <c r="D16" s="146" t="s">
        <v>544</v>
      </c>
      <c r="E16" s="254">
        <f>Таблица19[[#This Row],[Грунт]]+Таблица19[[#This Row],[Щебень]]+Таблица19[[#This Row],[Асфальт]]+Таблица19[[#This Row],[Бетон]]</f>
        <v>2</v>
      </c>
      <c r="F16" s="243">
        <v>2</v>
      </c>
      <c r="G16" s="140"/>
      <c r="H16" s="249"/>
      <c r="I16" s="139"/>
      <c r="J16" s="232"/>
      <c r="N16" s="234" t="b">
        <f>OR(Таблица19[[#This Row],[Щебень]]&gt;0,Таблица19[[#This Row],[Асфальт]]&gt;0,Таблица19[[#This Row],[Бетон]]&gt;0)</f>
        <v>0</v>
      </c>
      <c r="Q16" s="234">
        <v>14</v>
      </c>
      <c r="S16" s="235"/>
      <c r="T16" s="235"/>
    </row>
    <row r="17" spans="1:20" s="234" customFormat="1" x14ac:dyDescent="0.35">
      <c r="A17" s="146">
        <v>15</v>
      </c>
      <c r="B17" s="146" t="s">
        <v>31</v>
      </c>
      <c r="C17" s="146" t="s">
        <v>32</v>
      </c>
      <c r="D17" s="146" t="s">
        <v>544</v>
      </c>
      <c r="E17" s="254">
        <f>Таблица19[[#This Row],[Грунт]]+Таблица19[[#This Row],[Щебень]]+Таблица19[[#This Row],[Асфальт]]+Таблица19[[#This Row],[Бетон]]</f>
        <v>2.5</v>
      </c>
      <c r="F17" s="243">
        <v>1.6</v>
      </c>
      <c r="G17" s="140">
        <v>0.9</v>
      </c>
      <c r="H17" s="249"/>
      <c r="I17" s="139"/>
      <c r="J17" s="232"/>
      <c r="N17" s="234" t="b">
        <f>OR(Таблица19[[#This Row],[Щебень]]&gt;0,Таблица19[[#This Row],[Асфальт]]&gt;0,Таблица19[[#This Row],[Бетон]]&gt;0)</f>
        <v>1</v>
      </c>
      <c r="Q17" s="234">
        <v>15</v>
      </c>
      <c r="S17" s="235"/>
      <c r="T17" s="235"/>
    </row>
    <row r="18" spans="1:20" s="234" customFormat="1" x14ac:dyDescent="0.35">
      <c r="A18" s="146">
        <v>16</v>
      </c>
      <c r="B18" s="146" t="s">
        <v>33</v>
      </c>
      <c r="C18" s="146" t="s">
        <v>34</v>
      </c>
      <c r="D18" s="146" t="s">
        <v>544</v>
      </c>
      <c r="E18" s="254">
        <f>Таблица19[[#This Row],[Грунт]]+Таблица19[[#This Row],[Щебень]]+Таблица19[[#This Row],[Асфальт]]+Таблица19[[#This Row],[Бетон]]</f>
        <v>2</v>
      </c>
      <c r="F18" s="243">
        <v>1.4</v>
      </c>
      <c r="G18" s="140">
        <v>0.6</v>
      </c>
      <c r="H18" s="249"/>
      <c r="I18" s="139"/>
      <c r="J18" s="232"/>
      <c r="N18" s="234" t="b">
        <f>OR(Таблица19[[#This Row],[Щебень]]&gt;0,Таблица19[[#This Row],[Асфальт]]&gt;0,Таблица19[[#This Row],[Бетон]]&gt;0)</f>
        <v>1</v>
      </c>
      <c r="Q18" s="234">
        <v>16</v>
      </c>
      <c r="S18" s="235"/>
      <c r="T18" s="235"/>
    </row>
    <row r="19" spans="1:20" s="234" customFormat="1" x14ac:dyDescent="0.35">
      <c r="A19" s="146">
        <v>17</v>
      </c>
      <c r="B19" s="146" t="s">
        <v>35</v>
      </c>
      <c r="C19" s="146" t="s">
        <v>36</v>
      </c>
      <c r="D19" s="146" t="s">
        <v>552</v>
      </c>
      <c r="E19" s="254">
        <f>Таблица19[[#This Row],[Грунт]]+Таблица19[[#This Row],[Щебень]]+Таблица19[[#This Row],[Асфальт]]+Таблица19[[#This Row],[Бетон]]</f>
        <v>1</v>
      </c>
      <c r="F19" s="243">
        <v>1</v>
      </c>
      <c r="G19" s="140"/>
      <c r="H19" s="249"/>
      <c r="I19" s="139"/>
      <c r="J19" s="232"/>
      <c r="K19" s="233" t="s">
        <v>557</v>
      </c>
      <c r="N19" s="234" t="b">
        <f>OR(Таблица19[[#This Row],[Щебень]]&gt;0,Таблица19[[#This Row],[Асфальт]]&gt;0,Таблица19[[#This Row],[Бетон]]&gt;0)</f>
        <v>0</v>
      </c>
      <c r="Q19" s="234">
        <v>17</v>
      </c>
      <c r="S19" s="235"/>
      <c r="T19" s="235"/>
    </row>
    <row r="20" spans="1:20" s="234" customFormat="1" x14ac:dyDescent="0.35">
      <c r="A20" s="146">
        <v>18</v>
      </c>
      <c r="B20" s="146" t="s">
        <v>37</v>
      </c>
      <c r="C20" s="146" t="s">
        <v>38</v>
      </c>
      <c r="D20" s="146" t="s">
        <v>551</v>
      </c>
      <c r="E20" s="254">
        <f>Таблица19[[#This Row],[Грунт]]+Таблица19[[#This Row],[Щебень]]+Таблица19[[#This Row],[Асфальт]]+Таблица19[[#This Row],[Бетон]]</f>
        <v>2</v>
      </c>
      <c r="F20" s="243"/>
      <c r="G20" s="140">
        <v>2</v>
      </c>
      <c r="H20" s="249"/>
      <c r="I20" s="139"/>
      <c r="J20" s="232"/>
      <c r="N20" s="234" t="b">
        <f>OR(Таблица19[[#This Row],[Щебень]]&gt;0,Таблица19[[#This Row],[Асфальт]]&gt;0,Таблица19[[#This Row],[Бетон]]&gt;0)</f>
        <v>1</v>
      </c>
      <c r="O20" s="234">
        <v>1</v>
      </c>
      <c r="P20" s="234">
        <v>1</v>
      </c>
      <c r="Q20" s="234">
        <v>18</v>
      </c>
      <c r="S20" s="235"/>
      <c r="T20" s="235"/>
    </row>
    <row r="21" spans="1:20" s="234" customFormat="1" x14ac:dyDescent="0.35">
      <c r="A21" s="146">
        <v>19</v>
      </c>
      <c r="B21" s="146" t="s">
        <v>39</v>
      </c>
      <c r="C21" s="146" t="s">
        <v>40</v>
      </c>
      <c r="D21" s="146" t="s">
        <v>551</v>
      </c>
      <c r="E21" s="254">
        <f>Таблица19[[#This Row],[Грунт]]+Таблица19[[#This Row],[Щебень]]+Таблица19[[#This Row],[Асфальт]]+Таблица19[[#This Row],[Бетон]]</f>
        <v>1.5</v>
      </c>
      <c r="F21" s="243">
        <v>1.5</v>
      </c>
      <c r="G21" s="140"/>
      <c r="H21" s="249"/>
      <c r="I21" s="139"/>
      <c r="J21" s="232"/>
      <c r="N21" s="234" t="b">
        <f>OR(Таблица19[[#This Row],[Щебень]]&gt;0,Таблица19[[#This Row],[Асфальт]]&gt;0,Таблица19[[#This Row],[Бетон]]&gt;0)</f>
        <v>0</v>
      </c>
      <c r="Q21" s="234">
        <v>19</v>
      </c>
      <c r="S21" s="235"/>
      <c r="T21" s="235"/>
    </row>
    <row r="22" spans="1:20" s="234" customFormat="1" x14ac:dyDescent="0.35">
      <c r="A22" s="146">
        <v>20</v>
      </c>
      <c r="B22" s="146" t="s">
        <v>41</v>
      </c>
      <c r="C22" s="146" t="s">
        <v>42</v>
      </c>
      <c r="D22" s="146" t="s">
        <v>551</v>
      </c>
      <c r="E22" s="254">
        <f>Таблица19[[#This Row],[Грунт]]+Таблица19[[#This Row],[Щебень]]+Таблица19[[#This Row],[Асфальт]]+Таблица19[[#This Row],[Бетон]]</f>
        <v>2</v>
      </c>
      <c r="F22" s="243">
        <v>2</v>
      </c>
      <c r="G22" s="140"/>
      <c r="H22" s="249"/>
      <c r="I22" s="139"/>
      <c r="J22" s="232"/>
      <c r="N22" s="234" t="b">
        <f>OR(Таблица19[[#This Row],[Щебень]]&gt;0,Таблица19[[#This Row],[Асфальт]]&gt;0,Таблица19[[#This Row],[Бетон]]&gt;0)</f>
        <v>0</v>
      </c>
      <c r="Q22" s="234">
        <v>20</v>
      </c>
      <c r="S22" s="235"/>
      <c r="T22" s="235"/>
    </row>
    <row r="23" spans="1:20" s="234" customFormat="1" x14ac:dyDescent="0.35">
      <c r="A23" s="146">
        <v>21</v>
      </c>
      <c r="B23" s="146" t="s">
        <v>43</v>
      </c>
      <c r="C23" s="146" t="s">
        <v>44</v>
      </c>
      <c r="D23" s="146" t="s">
        <v>551</v>
      </c>
      <c r="E23" s="254">
        <f>Таблица19[[#This Row],[Грунт]]+Таблица19[[#This Row],[Щебень]]+Таблица19[[#This Row],[Асфальт]]+Таблица19[[#This Row],[Бетон]]</f>
        <v>3</v>
      </c>
      <c r="F23" s="243">
        <v>3</v>
      </c>
      <c r="G23" s="140"/>
      <c r="H23" s="249"/>
      <c r="I23" s="139"/>
      <c r="J23" s="232"/>
      <c r="N23" s="234" t="b">
        <f>OR(Таблица19[[#This Row],[Щебень]]&gt;0,Таблица19[[#This Row],[Асфальт]]&gt;0,Таблица19[[#This Row],[Бетон]]&gt;0)</f>
        <v>0</v>
      </c>
      <c r="Q23" s="234">
        <v>21</v>
      </c>
      <c r="S23" s="235"/>
      <c r="T23" s="235"/>
    </row>
    <row r="24" spans="1:20" s="234" customFormat="1" x14ac:dyDescent="0.35">
      <c r="A24" s="146">
        <v>22</v>
      </c>
      <c r="B24" s="146" t="s">
        <v>45</v>
      </c>
      <c r="C24" s="146" t="s">
        <v>46</v>
      </c>
      <c r="D24" s="146" t="s">
        <v>540</v>
      </c>
      <c r="E24" s="254">
        <f>Таблица19[[#This Row],[Грунт]]+Таблица19[[#This Row],[Щебень]]+Таблица19[[#This Row],[Асфальт]]+Таблица19[[#This Row],[Бетон]]</f>
        <v>2</v>
      </c>
      <c r="F24" s="243">
        <v>2</v>
      </c>
      <c r="G24" s="140"/>
      <c r="H24" s="249"/>
      <c r="I24" s="139"/>
      <c r="J24" s="232"/>
      <c r="N24" s="234" t="b">
        <f>OR(Таблица19[[#This Row],[Щебень]]&gt;0,Таблица19[[#This Row],[Асфальт]]&gt;0,Таблица19[[#This Row],[Бетон]]&gt;0)</f>
        <v>0</v>
      </c>
      <c r="Q24" s="234">
        <v>22</v>
      </c>
      <c r="S24" s="235"/>
      <c r="T24" s="235"/>
    </row>
    <row r="25" spans="1:20" s="234" customFormat="1" x14ac:dyDescent="0.35">
      <c r="A25" s="146">
        <v>23</v>
      </c>
      <c r="B25" s="146" t="s">
        <v>47</v>
      </c>
      <c r="C25" s="146" t="s">
        <v>48</v>
      </c>
      <c r="D25" s="146" t="s">
        <v>540</v>
      </c>
      <c r="E25" s="254">
        <f>Таблица19[[#This Row],[Грунт]]+Таблица19[[#This Row],[Щебень]]+Таблица19[[#This Row],[Асфальт]]+Таблица19[[#This Row],[Бетон]]</f>
        <v>2</v>
      </c>
      <c r="F25" s="243">
        <v>2</v>
      </c>
      <c r="G25" s="140"/>
      <c r="H25" s="249"/>
      <c r="I25" s="139"/>
      <c r="J25" s="232"/>
      <c r="N25" s="234" t="b">
        <f>OR(Таблица19[[#This Row],[Щебень]]&gt;0,Таблица19[[#This Row],[Асфальт]]&gt;0,Таблица19[[#This Row],[Бетон]]&gt;0)</f>
        <v>0</v>
      </c>
      <c r="Q25" s="234">
        <v>23</v>
      </c>
      <c r="S25" s="235"/>
      <c r="T25" s="235"/>
    </row>
    <row r="26" spans="1:20" s="234" customFormat="1" x14ac:dyDescent="0.35">
      <c r="A26" s="146">
        <v>24</v>
      </c>
      <c r="B26" s="146" t="s">
        <v>49</v>
      </c>
      <c r="C26" s="146" t="s">
        <v>50</v>
      </c>
      <c r="D26" s="146" t="s">
        <v>540</v>
      </c>
      <c r="E26" s="254">
        <f>Таблица19[[#This Row],[Грунт]]+Таблица19[[#This Row],[Щебень]]+Таблица19[[#This Row],[Асфальт]]+Таблица19[[#This Row],[Бетон]]</f>
        <v>1</v>
      </c>
      <c r="F26" s="243">
        <v>1</v>
      </c>
      <c r="G26" s="140"/>
      <c r="H26" s="249"/>
      <c r="I26" s="139"/>
      <c r="J26" s="232"/>
      <c r="N26" s="234" t="b">
        <f>OR(Таблица19[[#This Row],[Щебень]]&gt;0,Таблица19[[#This Row],[Асфальт]]&gt;0,Таблица19[[#This Row],[Бетон]]&gt;0)</f>
        <v>0</v>
      </c>
      <c r="Q26" s="234">
        <v>24</v>
      </c>
      <c r="S26" s="235"/>
      <c r="T26" s="235"/>
    </row>
    <row r="27" spans="1:20" s="234" customFormat="1" x14ac:dyDescent="0.35">
      <c r="A27" s="146">
        <v>25</v>
      </c>
      <c r="B27" s="146" t="s">
        <v>51</v>
      </c>
      <c r="C27" s="146" t="s">
        <v>52</v>
      </c>
      <c r="D27" s="146" t="s">
        <v>540</v>
      </c>
      <c r="E27" s="254">
        <f>Таблица19[[#This Row],[Грунт]]+Таблица19[[#This Row],[Щебень]]+Таблица19[[#This Row],[Асфальт]]+Таблица19[[#This Row],[Бетон]]</f>
        <v>3</v>
      </c>
      <c r="F27" s="243"/>
      <c r="G27" s="140">
        <v>3</v>
      </c>
      <c r="H27" s="249"/>
      <c r="I27" s="139"/>
      <c r="J27" s="232"/>
      <c r="N27" s="234" t="b">
        <f>OR(Таблица19[[#This Row],[Щебень]]&gt;0,Таблица19[[#This Row],[Асфальт]]&gt;0,Таблица19[[#This Row],[Бетон]]&gt;0)</f>
        <v>1</v>
      </c>
      <c r="O27" s="234">
        <v>1</v>
      </c>
      <c r="P27" s="234">
        <v>1</v>
      </c>
      <c r="Q27" s="234">
        <v>25</v>
      </c>
      <c r="S27" s="235"/>
      <c r="T27" s="235"/>
    </row>
    <row r="28" spans="1:20" s="234" customFormat="1" x14ac:dyDescent="0.35">
      <c r="A28" s="146">
        <v>26</v>
      </c>
      <c r="B28" s="146" t="s">
        <v>53</v>
      </c>
      <c r="C28" s="146" t="s">
        <v>54</v>
      </c>
      <c r="D28" s="146" t="s">
        <v>540</v>
      </c>
      <c r="E28" s="254">
        <f>Таблица19[[#This Row],[Грунт]]+Таблица19[[#This Row],[Щебень]]+Таблица19[[#This Row],[Асфальт]]+Таблица19[[#This Row],[Бетон]]</f>
        <v>2</v>
      </c>
      <c r="F28" s="243">
        <v>2</v>
      </c>
      <c r="G28" s="140"/>
      <c r="H28" s="249"/>
      <c r="I28" s="139"/>
      <c r="J28" s="232"/>
      <c r="N28" s="234" t="b">
        <f>OR(Таблица19[[#This Row],[Щебень]]&gt;0,Таблица19[[#This Row],[Асфальт]]&gt;0,Таблица19[[#This Row],[Бетон]]&gt;0)</f>
        <v>0</v>
      </c>
      <c r="Q28" s="234">
        <v>26</v>
      </c>
      <c r="S28" s="235"/>
      <c r="T28" s="235"/>
    </row>
    <row r="29" spans="1:20" s="234" customFormat="1" x14ac:dyDescent="0.35">
      <c r="A29" s="146">
        <v>27</v>
      </c>
      <c r="B29" s="146" t="s">
        <v>55</v>
      </c>
      <c r="C29" s="146" t="s">
        <v>56</v>
      </c>
      <c r="D29" s="146" t="s">
        <v>540</v>
      </c>
      <c r="E29" s="254">
        <f>Таблица19[[#This Row],[Грунт]]+Таблица19[[#This Row],[Щебень]]+Таблица19[[#This Row],[Асфальт]]+Таблица19[[#This Row],[Бетон]]</f>
        <v>1</v>
      </c>
      <c r="F29" s="243">
        <v>1</v>
      </c>
      <c r="G29" s="140"/>
      <c r="H29" s="249"/>
      <c r="I29" s="139"/>
      <c r="J29" s="232"/>
      <c r="N29" s="234" t="b">
        <f>OR(Таблица19[[#This Row],[Щебень]]&gt;0,Таблица19[[#This Row],[Асфальт]]&gt;0,Таблица19[[#This Row],[Бетон]]&gt;0)</f>
        <v>0</v>
      </c>
      <c r="Q29" s="234">
        <v>27</v>
      </c>
      <c r="S29" s="235"/>
      <c r="T29" s="235"/>
    </row>
    <row r="30" spans="1:20" s="234" customFormat="1" x14ac:dyDescent="0.35">
      <c r="A30" s="146">
        <v>28</v>
      </c>
      <c r="B30" s="146" t="s">
        <v>57</v>
      </c>
      <c r="C30" s="146" t="s">
        <v>58</v>
      </c>
      <c r="D30" s="146" t="s">
        <v>538</v>
      </c>
      <c r="E30" s="254">
        <f>Таблица19[[#This Row],[Грунт]]+Таблица19[[#This Row],[Щебень]]+Таблица19[[#This Row],[Асфальт]]+Таблица19[[#This Row],[Бетон]]</f>
        <v>2</v>
      </c>
      <c r="F30" s="243">
        <v>1.875</v>
      </c>
      <c r="G30" s="140">
        <v>0.125</v>
      </c>
      <c r="H30" s="249"/>
      <c r="I30" s="139"/>
      <c r="J30" s="232"/>
      <c r="K30" s="233" t="s">
        <v>558</v>
      </c>
      <c r="N30" s="234" t="b">
        <f>OR(Таблица19[[#This Row],[Щебень]]&gt;0,Таблица19[[#This Row],[Асфальт]]&gt;0,Таблица19[[#This Row],[Бетон]]&gt;0)</f>
        <v>1</v>
      </c>
      <c r="O30" s="234">
        <v>1</v>
      </c>
      <c r="P30" s="234">
        <v>1</v>
      </c>
      <c r="Q30" s="234">
        <v>28</v>
      </c>
      <c r="S30" s="235"/>
      <c r="T30" s="235"/>
    </row>
    <row r="31" spans="1:20" s="234" customFormat="1" x14ac:dyDescent="0.35">
      <c r="A31" s="146">
        <v>29</v>
      </c>
      <c r="B31" s="146" t="s">
        <v>59</v>
      </c>
      <c r="C31" s="146" t="s">
        <v>60</v>
      </c>
      <c r="D31" s="146" t="s">
        <v>538</v>
      </c>
      <c r="E31" s="254">
        <f>Таблица19[[#This Row],[Грунт]]+Таблица19[[#This Row],[Щебень]]+Таблица19[[#This Row],[Асфальт]]+Таблица19[[#This Row],[Бетон]]</f>
        <v>1</v>
      </c>
      <c r="F31" s="243">
        <v>1</v>
      </c>
      <c r="G31" s="140"/>
      <c r="H31" s="249"/>
      <c r="I31" s="139"/>
      <c r="J31" s="232"/>
      <c r="K31" s="234" t="s">
        <v>558</v>
      </c>
      <c r="N31" s="234" t="b">
        <f>OR(Таблица19[[#This Row],[Щебень]]&gt;0,Таблица19[[#This Row],[Асфальт]]&gt;0,Таблица19[[#This Row],[Бетон]]&gt;0)</f>
        <v>0</v>
      </c>
      <c r="Q31" s="234">
        <v>29</v>
      </c>
      <c r="S31" s="235"/>
      <c r="T31" s="235"/>
    </row>
    <row r="32" spans="1:20" s="234" customFormat="1" x14ac:dyDescent="0.35">
      <c r="A32" s="146">
        <v>30</v>
      </c>
      <c r="B32" s="146" t="s">
        <v>61</v>
      </c>
      <c r="C32" s="146" t="s">
        <v>62</v>
      </c>
      <c r="D32" s="146" t="s">
        <v>538</v>
      </c>
      <c r="E32" s="254">
        <f>Таблица19[[#This Row],[Грунт]]+Таблица19[[#This Row],[Щебень]]+Таблица19[[#This Row],[Асфальт]]+Таблица19[[#This Row],[Бетон]]</f>
        <v>4</v>
      </c>
      <c r="F32" s="243"/>
      <c r="G32" s="140"/>
      <c r="H32" s="249">
        <v>4</v>
      </c>
      <c r="I32" s="139"/>
      <c r="J32" s="232"/>
      <c r="K32" s="234" t="s">
        <v>558</v>
      </c>
      <c r="N32" s="234" t="b">
        <f>OR(Таблица19[[#This Row],[Щебень]]&gt;0,Таблица19[[#This Row],[Асфальт]]&gt;0,Таблица19[[#This Row],[Бетон]]&gt;0)</f>
        <v>1</v>
      </c>
      <c r="O32" s="234">
        <v>1</v>
      </c>
      <c r="P32" s="234">
        <v>1</v>
      </c>
      <c r="Q32" s="234">
        <v>30</v>
      </c>
      <c r="S32" s="235"/>
      <c r="T32" s="235"/>
    </row>
    <row r="33" spans="1:20" s="234" customFormat="1" ht="46.5" x14ac:dyDescent="0.35">
      <c r="A33" s="146">
        <v>31</v>
      </c>
      <c r="B33" s="146" t="s">
        <v>63</v>
      </c>
      <c r="C33" s="146" t="s">
        <v>64</v>
      </c>
      <c r="D33" s="146" t="s">
        <v>538</v>
      </c>
      <c r="E33" s="254">
        <f>Таблица19[[#This Row],[Грунт]]+Таблица19[[#This Row],[Щебень]]+Таблица19[[#This Row],[Асфальт]]+Таблица19[[#This Row],[Бетон]]</f>
        <v>2.218</v>
      </c>
      <c r="F33" s="243"/>
      <c r="G33" s="140">
        <v>2.218</v>
      </c>
      <c r="H33" s="249"/>
      <c r="I33" s="139"/>
      <c r="J33" s="232"/>
      <c r="K33" s="233" t="s">
        <v>557</v>
      </c>
      <c r="N33" s="234" t="b">
        <f>OR(Таблица19[[#This Row],[Щебень]]&gt;0,Таблица19[[#This Row],[Асфальт]]&gt;0,Таблица19[[#This Row],[Бетон]]&gt;0)</f>
        <v>1</v>
      </c>
      <c r="O33" s="234">
        <v>1</v>
      </c>
      <c r="P33" s="234">
        <v>1</v>
      </c>
      <c r="Q33" s="234">
        <v>31</v>
      </c>
      <c r="S33" s="235"/>
      <c r="T33" s="235"/>
    </row>
    <row r="34" spans="1:20" s="234" customFormat="1" x14ac:dyDescent="0.35">
      <c r="A34" s="146">
        <v>32</v>
      </c>
      <c r="B34" s="146" t="s">
        <v>65</v>
      </c>
      <c r="C34" s="146" t="s">
        <v>66</v>
      </c>
      <c r="D34" s="146" t="s">
        <v>542</v>
      </c>
      <c r="E34" s="254">
        <f>Таблица19[[#This Row],[Грунт]]+Таблица19[[#This Row],[Щебень]]+Таблица19[[#This Row],[Асфальт]]+Таблица19[[#This Row],[Бетон]]</f>
        <v>3</v>
      </c>
      <c r="F34" s="243">
        <v>3</v>
      </c>
      <c r="G34" s="140"/>
      <c r="H34" s="249">
        <v>0</v>
      </c>
      <c r="I34" s="139"/>
      <c r="J34" s="232"/>
      <c r="N34" s="234" t="b">
        <f>OR(Таблица19[[#This Row],[Щебень]]&gt;0,Таблица19[[#This Row],[Асфальт]]&gt;0,Таблица19[[#This Row],[Бетон]]&gt;0)</f>
        <v>0</v>
      </c>
      <c r="O34" s="234">
        <v>1</v>
      </c>
      <c r="P34" s="234">
        <v>1</v>
      </c>
      <c r="Q34" s="234">
        <v>32</v>
      </c>
      <c r="S34" s="235"/>
      <c r="T34" s="235"/>
    </row>
    <row r="35" spans="1:20" s="234" customFormat="1" ht="46.5" x14ac:dyDescent="0.35">
      <c r="A35" s="146">
        <v>33</v>
      </c>
      <c r="B35" s="146" t="s">
        <v>67</v>
      </c>
      <c r="C35" s="146" t="s">
        <v>530</v>
      </c>
      <c r="D35" s="146" t="s">
        <v>542</v>
      </c>
      <c r="E35" s="254">
        <f>Таблица19[[#This Row],[Грунт]]+Таблица19[[#This Row],[Щебень]]+Таблица19[[#This Row],[Асфальт]]+Таблица19[[#This Row],[Бетон]]</f>
        <v>2</v>
      </c>
      <c r="F35" s="243"/>
      <c r="G35" s="140"/>
      <c r="H35" s="249">
        <v>2</v>
      </c>
      <c r="I35" s="139"/>
      <c r="J35" s="232"/>
      <c r="K35" s="234" t="s">
        <v>557</v>
      </c>
      <c r="N35" s="234" t="b">
        <f>OR(Таблица19[[#This Row],[Щебень]]&gt;0,Таблица19[[#This Row],[Асфальт]]&gt;0,Таблица19[[#This Row],[Бетон]]&gt;0)</f>
        <v>1</v>
      </c>
      <c r="O35" s="234">
        <v>1</v>
      </c>
      <c r="P35" s="234">
        <v>1</v>
      </c>
      <c r="Q35" s="234">
        <v>33</v>
      </c>
      <c r="S35" s="235"/>
      <c r="T35" s="235"/>
    </row>
    <row r="36" spans="1:20" s="234" customFormat="1" x14ac:dyDescent="0.35">
      <c r="A36" s="146">
        <v>34</v>
      </c>
      <c r="B36" s="146" t="s">
        <v>68</v>
      </c>
      <c r="C36" s="146" t="s">
        <v>69</v>
      </c>
      <c r="D36" s="146" t="s">
        <v>542</v>
      </c>
      <c r="E36" s="254">
        <f>Таблица19[[#This Row],[Грунт]]+Таблица19[[#This Row],[Щебень]]+Таблица19[[#This Row],[Асфальт]]+Таблица19[[#This Row],[Бетон]]</f>
        <v>1.8</v>
      </c>
      <c r="F36" s="243"/>
      <c r="G36" s="140"/>
      <c r="H36" s="249">
        <v>1.8</v>
      </c>
      <c r="I36" s="139"/>
      <c r="J36" s="232"/>
      <c r="K36" s="233" t="s">
        <v>557</v>
      </c>
      <c r="N36" s="234" t="b">
        <f>OR(Таблица19[[#This Row],[Щебень]]&gt;0,Таблица19[[#This Row],[Асфальт]]&gt;0,Таблица19[[#This Row],[Бетон]]&gt;0)</f>
        <v>1</v>
      </c>
      <c r="O36" s="234">
        <v>1</v>
      </c>
      <c r="P36" s="234">
        <v>1</v>
      </c>
      <c r="Q36" s="234">
        <v>34</v>
      </c>
      <c r="S36" s="235"/>
      <c r="T36" s="235"/>
    </row>
    <row r="37" spans="1:20" s="234" customFormat="1" ht="46.5" x14ac:dyDescent="0.35">
      <c r="A37" s="146">
        <v>35</v>
      </c>
      <c r="B37" s="146" t="s">
        <v>70</v>
      </c>
      <c r="C37" s="146" t="s">
        <v>531</v>
      </c>
      <c r="D37" s="146" t="s">
        <v>542</v>
      </c>
      <c r="E37" s="254">
        <f>Таблица19[[#This Row],[Грунт]]+Таблица19[[#This Row],[Щебень]]+Таблица19[[#This Row],[Асфальт]]+Таблица19[[#This Row],[Бетон]]</f>
        <v>1</v>
      </c>
      <c r="F37" s="243">
        <v>1</v>
      </c>
      <c r="G37" s="140"/>
      <c r="H37" s="249"/>
      <c r="I37" s="139"/>
      <c r="J37" s="232"/>
      <c r="N37" s="234" t="b">
        <f>OR(Таблица19[[#This Row],[Щебень]]&gt;0,Таблица19[[#This Row],[Асфальт]]&gt;0,Таблица19[[#This Row],[Бетон]]&gt;0)</f>
        <v>0</v>
      </c>
      <c r="Q37" s="234">
        <v>35</v>
      </c>
      <c r="S37" s="235"/>
      <c r="T37" s="235"/>
    </row>
    <row r="38" spans="1:20" s="234" customFormat="1" x14ac:dyDescent="0.35">
      <c r="A38" s="146">
        <v>36</v>
      </c>
      <c r="B38" s="146" t="s">
        <v>71</v>
      </c>
      <c r="C38" s="146" t="s">
        <v>72</v>
      </c>
      <c r="D38" s="146" t="s">
        <v>542</v>
      </c>
      <c r="E38" s="254">
        <f>Таблица19[[#This Row],[Грунт]]+Таблица19[[#This Row],[Щебень]]+Таблица19[[#This Row],[Асфальт]]+Таблица19[[#This Row],[Бетон]]</f>
        <v>1</v>
      </c>
      <c r="F38" s="243">
        <v>1</v>
      </c>
      <c r="G38" s="140"/>
      <c r="H38" s="249"/>
      <c r="I38" s="139"/>
      <c r="J38" s="232"/>
      <c r="N38" s="234" t="b">
        <f>OR(Таблица19[[#This Row],[Щебень]]&gt;0,Таблица19[[#This Row],[Асфальт]]&gt;0,Таблица19[[#This Row],[Бетон]]&gt;0)</f>
        <v>0</v>
      </c>
      <c r="Q38" s="234">
        <v>36</v>
      </c>
      <c r="S38" s="235"/>
      <c r="T38" s="235"/>
    </row>
    <row r="39" spans="1:20" s="234" customFormat="1" x14ac:dyDescent="0.35">
      <c r="A39" s="146">
        <v>37</v>
      </c>
      <c r="B39" s="146" t="s">
        <v>73</v>
      </c>
      <c r="C39" s="146" t="s">
        <v>74</v>
      </c>
      <c r="D39" s="146" t="s">
        <v>546</v>
      </c>
      <c r="E39" s="254">
        <f>Таблица19[[#This Row],[Грунт]]+Таблица19[[#This Row],[Щебень]]+Таблица19[[#This Row],[Асфальт]]+Таблица19[[#This Row],[Бетон]]</f>
        <v>2</v>
      </c>
      <c r="F39" s="243">
        <v>2</v>
      </c>
      <c r="G39" s="140"/>
      <c r="H39" s="249"/>
      <c r="I39" s="139"/>
      <c r="J39" s="232"/>
      <c r="K39" s="234" t="s">
        <v>558</v>
      </c>
      <c r="N39" s="234" t="b">
        <f>OR(Таблица19[[#This Row],[Щебень]]&gt;0,Таблица19[[#This Row],[Асфальт]]&gt;0,Таблица19[[#This Row],[Бетон]]&gt;0)</f>
        <v>0</v>
      </c>
      <c r="Q39" s="234">
        <v>37</v>
      </c>
      <c r="S39" s="235"/>
      <c r="T39" s="235"/>
    </row>
    <row r="40" spans="1:20" s="234" customFormat="1" ht="46.5" customHeight="1" x14ac:dyDescent="0.35">
      <c r="A40" s="146">
        <v>38</v>
      </c>
      <c r="B40" s="146" t="s">
        <v>75</v>
      </c>
      <c r="C40" s="146" t="s">
        <v>76</v>
      </c>
      <c r="D40" s="146" t="s">
        <v>548</v>
      </c>
      <c r="E40" s="254">
        <f>Таблица19[[#This Row],[Грунт]]+Таблица19[[#This Row],[Щебень]]+Таблица19[[#This Row],[Асфальт]]+Таблица19[[#This Row],[Бетон]]</f>
        <v>3</v>
      </c>
      <c r="F40" s="243">
        <v>3</v>
      </c>
      <c r="G40" s="140"/>
      <c r="H40" s="249"/>
      <c r="I40" s="139"/>
      <c r="J40" s="232"/>
      <c r="N40" s="234" t="b">
        <f>OR(Таблица19[[#This Row],[Щебень]]&gt;0,Таблица19[[#This Row],[Асфальт]]&gt;0,Таблица19[[#This Row],[Бетон]]&gt;0)</f>
        <v>0</v>
      </c>
      <c r="Q40" s="234">
        <v>38</v>
      </c>
      <c r="S40" s="235"/>
      <c r="T40" s="235"/>
    </row>
    <row r="41" spans="1:20" s="234" customFormat="1" ht="33.75" customHeight="1" x14ac:dyDescent="0.35">
      <c r="A41" s="146">
        <v>39</v>
      </c>
      <c r="B41" s="146" t="s">
        <v>77</v>
      </c>
      <c r="C41" s="146" t="s">
        <v>78</v>
      </c>
      <c r="D41" s="146" t="s">
        <v>546</v>
      </c>
      <c r="E41" s="254">
        <f>Таблица19[[#This Row],[Грунт]]+Таблица19[[#This Row],[Щебень]]+Таблица19[[#This Row],[Асфальт]]+Таблица19[[#This Row],[Бетон]]</f>
        <v>5</v>
      </c>
      <c r="F41" s="243"/>
      <c r="G41" s="140"/>
      <c r="H41" s="249">
        <v>5</v>
      </c>
      <c r="I41" s="139"/>
      <c r="J41" s="232"/>
      <c r="K41" s="233" t="s">
        <v>557</v>
      </c>
      <c r="N41" s="234" t="b">
        <f>OR(Таблица19[[#This Row],[Щебень]]&gt;0,Таблица19[[#This Row],[Асфальт]]&gt;0,Таблица19[[#This Row],[Бетон]]&gt;0)</f>
        <v>1</v>
      </c>
      <c r="O41" s="234">
        <v>1</v>
      </c>
      <c r="P41" s="234">
        <v>1</v>
      </c>
      <c r="Q41" s="234">
        <v>39</v>
      </c>
      <c r="S41" s="235"/>
      <c r="T41" s="235"/>
    </row>
    <row r="42" spans="1:20" s="234" customFormat="1" ht="46.5" x14ac:dyDescent="0.35">
      <c r="A42" s="146">
        <v>40</v>
      </c>
      <c r="B42" s="146" t="s">
        <v>79</v>
      </c>
      <c r="C42" s="146" t="s">
        <v>532</v>
      </c>
      <c r="D42" s="146" t="s">
        <v>546</v>
      </c>
      <c r="E42" s="254">
        <f>Таблица19[[#This Row],[Грунт]]+Таблица19[[#This Row],[Щебень]]+Таблица19[[#This Row],[Асфальт]]+Таблица19[[#This Row],[Бетон]]</f>
        <v>3</v>
      </c>
      <c r="F42" s="243">
        <v>3</v>
      </c>
      <c r="G42" s="140"/>
      <c r="H42" s="249"/>
      <c r="I42" s="139"/>
      <c r="J42" s="232"/>
      <c r="N42" s="234" t="b">
        <f>OR(Таблица19[[#This Row],[Щебень]]&gt;0,Таблица19[[#This Row],[Асфальт]]&gt;0,Таблица19[[#This Row],[Бетон]]&gt;0)</f>
        <v>0</v>
      </c>
      <c r="Q42" s="234">
        <v>40</v>
      </c>
      <c r="S42" s="235"/>
      <c r="T42" s="235"/>
    </row>
    <row r="43" spans="1:20" s="234" customFormat="1" x14ac:dyDescent="0.35">
      <c r="A43" s="146">
        <v>41</v>
      </c>
      <c r="B43" s="146" t="s">
        <v>80</v>
      </c>
      <c r="C43" s="146" t="s">
        <v>81</v>
      </c>
      <c r="D43" s="146" t="s">
        <v>546</v>
      </c>
      <c r="E43" s="254">
        <f>Таблица19[[#This Row],[Грунт]]+Таблица19[[#This Row],[Щебень]]+Таблица19[[#This Row],[Асфальт]]+Таблица19[[#This Row],[Бетон]]</f>
        <v>1.5</v>
      </c>
      <c r="F43" s="243"/>
      <c r="G43" s="140"/>
      <c r="H43" s="249">
        <v>1.5</v>
      </c>
      <c r="I43" s="139"/>
      <c r="J43" s="232"/>
      <c r="K43" s="233" t="s">
        <v>557</v>
      </c>
      <c r="N43" s="234" t="b">
        <f>OR(Таблица19[[#This Row],[Щебень]]&gt;0,Таблица19[[#This Row],[Асфальт]]&gt;0,Таблица19[[#This Row],[Бетон]]&gt;0)</f>
        <v>1</v>
      </c>
      <c r="Q43" s="234">
        <v>41</v>
      </c>
      <c r="S43" s="235"/>
      <c r="T43" s="235"/>
    </row>
    <row r="44" spans="1:20" s="234" customFormat="1" ht="46.5" x14ac:dyDescent="0.35">
      <c r="A44" s="146">
        <v>42</v>
      </c>
      <c r="B44" s="146" t="s">
        <v>82</v>
      </c>
      <c r="C44" s="146" t="s">
        <v>83</v>
      </c>
      <c r="D44" s="146" t="s">
        <v>546</v>
      </c>
      <c r="E44" s="254">
        <f>Таблица19[[#This Row],[Грунт]]+Таблица19[[#This Row],[Щебень]]+Таблица19[[#This Row],[Асфальт]]+Таблица19[[#This Row],[Бетон]]</f>
        <v>4</v>
      </c>
      <c r="F44" s="243">
        <v>4</v>
      </c>
      <c r="G44" s="140"/>
      <c r="H44" s="249"/>
      <c r="I44" s="139"/>
      <c r="J44" s="232"/>
      <c r="N44" s="234" t="b">
        <f>OR(Таблица19[[#This Row],[Щебень]]&gt;0,Таблица19[[#This Row],[Асфальт]]&gt;0,Таблица19[[#This Row],[Бетон]]&gt;0)</f>
        <v>0</v>
      </c>
      <c r="Q44" s="234">
        <v>42</v>
      </c>
      <c r="S44" s="235"/>
      <c r="T44" s="235"/>
    </row>
    <row r="45" spans="1:20" s="234" customFormat="1" x14ac:dyDescent="0.35">
      <c r="A45" s="146">
        <v>43</v>
      </c>
      <c r="B45" s="146" t="s">
        <v>84</v>
      </c>
      <c r="C45" s="146" t="s">
        <v>85</v>
      </c>
      <c r="D45" s="146" t="s">
        <v>546</v>
      </c>
      <c r="E45" s="254">
        <f>Таблица19[[#This Row],[Грунт]]+Таблица19[[#This Row],[Щебень]]+Таблица19[[#This Row],[Асфальт]]+Таблица19[[#This Row],[Бетон]]</f>
        <v>2</v>
      </c>
      <c r="F45" s="243">
        <v>2</v>
      </c>
      <c r="G45" s="140"/>
      <c r="H45" s="249"/>
      <c r="I45" s="139"/>
      <c r="J45" s="232"/>
      <c r="N45" s="234" t="b">
        <f>OR(Таблица19[[#This Row],[Щебень]]&gt;0,Таблица19[[#This Row],[Асфальт]]&gt;0,Таблица19[[#This Row],[Бетон]]&gt;0)</f>
        <v>0</v>
      </c>
      <c r="Q45" s="234">
        <v>43</v>
      </c>
      <c r="S45" s="235"/>
      <c r="T45" s="235"/>
    </row>
    <row r="46" spans="1:20" s="234" customFormat="1" x14ac:dyDescent="0.35">
      <c r="A46" s="146">
        <v>44</v>
      </c>
      <c r="B46" s="146" t="s">
        <v>86</v>
      </c>
      <c r="C46" s="146" t="s">
        <v>87</v>
      </c>
      <c r="D46" s="146" t="s">
        <v>546</v>
      </c>
      <c r="E46" s="254">
        <f>Таблица19[[#This Row],[Грунт]]+Таблица19[[#This Row],[Щебень]]+Таблица19[[#This Row],[Асфальт]]+Таблица19[[#This Row],[Бетон]]</f>
        <v>3.5</v>
      </c>
      <c r="F46" s="243">
        <v>0</v>
      </c>
      <c r="G46" s="140"/>
      <c r="H46" s="249">
        <v>3.5</v>
      </c>
      <c r="I46" s="139"/>
      <c r="J46" s="232"/>
      <c r="K46" s="233" t="s">
        <v>557</v>
      </c>
      <c r="N46" s="234" t="b">
        <f>OR(Таблица19[[#This Row],[Щебень]]&gt;0,Таблица19[[#This Row],[Асфальт]]&gt;0,Таблица19[[#This Row],[Бетон]]&gt;0)</f>
        <v>1</v>
      </c>
      <c r="O46" s="234">
        <v>1</v>
      </c>
      <c r="P46" s="234">
        <v>1</v>
      </c>
      <c r="Q46" s="234">
        <v>44</v>
      </c>
      <c r="S46" s="235"/>
      <c r="T46" s="235"/>
    </row>
    <row r="47" spans="1:20" s="234" customFormat="1" x14ac:dyDescent="0.35">
      <c r="A47" s="146">
        <v>45</v>
      </c>
      <c r="B47" s="146" t="s">
        <v>88</v>
      </c>
      <c r="C47" s="146" t="s">
        <v>89</v>
      </c>
      <c r="D47" s="146" t="s">
        <v>550</v>
      </c>
      <c r="E47" s="254">
        <f>Таблица19[[#This Row],[Грунт]]+Таблица19[[#This Row],[Щебень]]+Таблица19[[#This Row],[Асфальт]]+Таблица19[[#This Row],[Бетон]]</f>
        <v>0.4</v>
      </c>
      <c r="F47" s="243">
        <v>0.4</v>
      </c>
      <c r="G47" s="140"/>
      <c r="H47" s="249"/>
      <c r="I47" s="139"/>
      <c r="J47" s="232"/>
      <c r="N47" s="234" t="b">
        <f>OR(Таблица19[[#This Row],[Щебень]]&gt;0,Таблица19[[#This Row],[Асфальт]]&gt;0,Таблица19[[#This Row],[Бетон]]&gt;0)</f>
        <v>0</v>
      </c>
      <c r="Q47" s="234">
        <v>45</v>
      </c>
      <c r="S47" s="235"/>
      <c r="T47" s="235"/>
    </row>
    <row r="48" spans="1:20" s="234" customFormat="1" x14ac:dyDescent="0.35">
      <c r="A48" s="146">
        <v>46</v>
      </c>
      <c r="B48" s="146" t="s">
        <v>90</v>
      </c>
      <c r="C48" s="146" t="s">
        <v>91</v>
      </c>
      <c r="D48" s="146" t="s">
        <v>550</v>
      </c>
      <c r="E48" s="254">
        <f>Таблица19[[#This Row],[Грунт]]+Таблица19[[#This Row],[Щебень]]+Таблица19[[#This Row],[Асфальт]]+Таблица19[[#This Row],[Бетон]]</f>
        <v>0.65</v>
      </c>
      <c r="F48" s="243"/>
      <c r="G48" s="140"/>
      <c r="H48" s="249">
        <v>0.65</v>
      </c>
      <c r="I48" s="139"/>
      <c r="J48" s="232"/>
      <c r="K48" s="234" t="s">
        <v>558</v>
      </c>
      <c r="N48" s="234" t="b">
        <f>OR(Таблица19[[#This Row],[Щебень]]&gt;0,Таблица19[[#This Row],[Асфальт]]&gt;0,Таблица19[[#This Row],[Бетон]]&gt;0)</f>
        <v>1</v>
      </c>
      <c r="O48" s="234">
        <v>1</v>
      </c>
      <c r="P48" s="234">
        <v>1</v>
      </c>
      <c r="Q48" s="234">
        <v>46</v>
      </c>
      <c r="S48" s="235"/>
      <c r="T48" s="235"/>
    </row>
    <row r="49" spans="1:20" s="234" customFormat="1" x14ac:dyDescent="0.35">
      <c r="A49" s="146">
        <v>47</v>
      </c>
      <c r="B49" s="146" t="s">
        <v>92</v>
      </c>
      <c r="C49" s="146" t="s">
        <v>93</v>
      </c>
      <c r="D49" s="146" t="s">
        <v>539</v>
      </c>
      <c r="E49" s="254">
        <f>Таблица19[[#This Row],[Грунт]]+Таблица19[[#This Row],[Щебень]]+Таблица19[[#This Row],[Асфальт]]+Таблица19[[#This Row],[Бетон]]</f>
        <v>5</v>
      </c>
      <c r="F49" s="243">
        <v>5</v>
      </c>
      <c r="G49" s="140"/>
      <c r="H49" s="249"/>
      <c r="I49" s="139"/>
      <c r="J49" s="232"/>
      <c r="N49" s="234" t="b">
        <f>OR(Таблица19[[#This Row],[Щебень]]&gt;0,Таблица19[[#This Row],[Асфальт]]&gt;0,Таблица19[[#This Row],[Бетон]]&gt;0)</f>
        <v>0</v>
      </c>
      <c r="Q49" s="234">
        <v>47</v>
      </c>
      <c r="S49" s="235"/>
      <c r="T49" s="235"/>
    </row>
    <row r="50" spans="1:20" s="234" customFormat="1" x14ac:dyDescent="0.35">
      <c r="A50" s="146">
        <v>48</v>
      </c>
      <c r="B50" s="146" t="s">
        <v>94</v>
      </c>
      <c r="C50" s="146" t="s">
        <v>95</v>
      </c>
      <c r="D50" s="146" t="s">
        <v>539</v>
      </c>
      <c r="E50" s="254">
        <f>Таблица19[[#This Row],[Грунт]]+Таблица19[[#This Row],[Щебень]]+Таблица19[[#This Row],[Асфальт]]+Таблица19[[#This Row],[Бетон]]</f>
        <v>4</v>
      </c>
      <c r="F50" s="243">
        <v>4</v>
      </c>
      <c r="G50" s="140"/>
      <c r="H50" s="249"/>
      <c r="I50" s="139"/>
      <c r="J50" s="232"/>
      <c r="K50" s="233" t="s">
        <v>557</v>
      </c>
      <c r="N50" s="234" t="b">
        <f>OR(Таблица19[[#This Row],[Щебень]]&gt;0,Таблица19[[#This Row],[Асфальт]]&gt;0,Таблица19[[#This Row],[Бетон]]&gt;0)</f>
        <v>0</v>
      </c>
      <c r="Q50" s="234">
        <v>48</v>
      </c>
      <c r="S50" s="235"/>
      <c r="T50" s="235"/>
    </row>
    <row r="51" spans="1:20" s="234" customFormat="1" x14ac:dyDescent="0.35">
      <c r="A51" s="146">
        <v>49</v>
      </c>
      <c r="B51" s="146" t="s">
        <v>96</v>
      </c>
      <c r="C51" s="146" t="s">
        <v>97</v>
      </c>
      <c r="D51" s="146" t="s">
        <v>539</v>
      </c>
      <c r="E51" s="254">
        <f>Таблица19[[#This Row],[Грунт]]+Таблица19[[#This Row],[Щебень]]+Таблица19[[#This Row],[Асфальт]]+Таблица19[[#This Row],[Бетон]]</f>
        <v>4</v>
      </c>
      <c r="F51" s="243">
        <v>4</v>
      </c>
      <c r="G51" s="140"/>
      <c r="H51" s="249"/>
      <c r="I51" s="139"/>
      <c r="J51" s="232"/>
      <c r="N51" s="234" t="b">
        <f>OR(Таблица19[[#This Row],[Щебень]]&gt;0,Таблица19[[#This Row],[Асфальт]]&gt;0,Таблица19[[#This Row],[Бетон]]&gt;0)</f>
        <v>0</v>
      </c>
      <c r="Q51" s="234">
        <v>49</v>
      </c>
      <c r="S51" s="235"/>
      <c r="T51" s="235"/>
    </row>
    <row r="52" spans="1:20" s="234" customFormat="1" x14ac:dyDescent="0.35">
      <c r="A52" s="146">
        <v>50</v>
      </c>
      <c r="B52" s="146" t="s">
        <v>98</v>
      </c>
      <c r="C52" s="146" t="s">
        <v>99</v>
      </c>
      <c r="D52" s="146" t="s">
        <v>539</v>
      </c>
      <c r="E52" s="254">
        <f>Таблица19[[#This Row],[Грунт]]+Таблица19[[#This Row],[Щебень]]+Таблица19[[#This Row],[Асфальт]]+Таблица19[[#This Row],[Бетон]]</f>
        <v>2</v>
      </c>
      <c r="F52" s="243">
        <v>2</v>
      </c>
      <c r="G52" s="140"/>
      <c r="H52" s="249"/>
      <c r="I52" s="139"/>
      <c r="J52" s="232"/>
      <c r="N52" s="234" t="b">
        <f>OR(Таблица19[[#This Row],[Щебень]]&gt;0,Таблица19[[#This Row],[Асфальт]]&gt;0,Таблица19[[#This Row],[Бетон]]&gt;0)</f>
        <v>0</v>
      </c>
      <c r="Q52" s="234">
        <v>50</v>
      </c>
      <c r="S52" s="235"/>
      <c r="T52" s="235"/>
    </row>
    <row r="53" spans="1:20" s="234" customFormat="1" x14ac:dyDescent="0.35">
      <c r="A53" s="146">
        <v>51</v>
      </c>
      <c r="B53" s="146" t="s">
        <v>100</v>
      </c>
      <c r="C53" s="146" t="s">
        <v>101</v>
      </c>
      <c r="D53" s="146" t="s">
        <v>539</v>
      </c>
      <c r="E53" s="254">
        <f>Таблица19[[#This Row],[Грунт]]+Таблица19[[#This Row],[Щебень]]+Таблица19[[#This Row],[Асфальт]]+Таблица19[[#This Row],[Бетон]]</f>
        <v>2</v>
      </c>
      <c r="F53" s="243">
        <v>2</v>
      </c>
      <c r="G53" s="140"/>
      <c r="H53" s="249"/>
      <c r="I53" s="139"/>
      <c r="J53" s="232"/>
      <c r="N53" s="234" t="b">
        <f>OR(Таблица19[[#This Row],[Щебень]]&gt;0,Таблица19[[#This Row],[Асфальт]]&gt;0,Таблица19[[#This Row],[Бетон]]&gt;0)</f>
        <v>0</v>
      </c>
      <c r="Q53" s="234">
        <v>51</v>
      </c>
      <c r="S53" s="235"/>
      <c r="T53" s="235"/>
    </row>
    <row r="54" spans="1:20" s="234" customFormat="1" x14ac:dyDescent="0.35">
      <c r="A54" s="146">
        <v>52</v>
      </c>
      <c r="B54" s="146" t="s">
        <v>102</v>
      </c>
      <c r="C54" s="146" t="s">
        <v>103</v>
      </c>
      <c r="D54" s="146" t="s">
        <v>539</v>
      </c>
      <c r="E54" s="254">
        <f>Таблица19[[#This Row],[Грунт]]+Таблица19[[#This Row],[Щебень]]+Таблица19[[#This Row],[Асфальт]]+Таблица19[[#This Row],[Бетон]]</f>
        <v>3</v>
      </c>
      <c r="F54" s="243">
        <v>3</v>
      </c>
      <c r="G54" s="140"/>
      <c r="H54" s="249"/>
      <c r="I54" s="139"/>
      <c r="J54" s="232"/>
      <c r="N54" s="234" t="b">
        <f>OR(Таблица19[[#This Row],[Щебень]]&gt;0,Таблица19[[#This Row],[Асфальт]]&gt;0,Таблица19[[#This Row],[Бетон]]&gt;0)</f>
        <v>0</v>
      </c>
      <c r="Q54" s="234">
        <v>52</v>
      </c>
      <c r="S54" s="235"/>
      <c r="T54" s="235"/>
    </row>
    <row r="55" spans="1:20" s="234" customFormat="1" x14ac:dyDescent="0.35">
      <c r="A55" s="146">
        <v>53</v>
      </c>
      <c r="B55" s="146" t="s">
        <v>104</v>
      </c>
      <c r="C55" s="146" t="s">
        <v>105</v>
      </c>
      <c r="D55" s="146" t="s">
        <v>539</v>
      </c>
      <c r="E55" s="254">
        <f>Таблица19[[#This Row],[Грунт]]+Таблица19[[#This Row],[Щебень]]+Таблица19[[#This Row],[Асфальт]]+Таблица19[[#This Row],[Бетон]]</f>
        <v>2</v>
      </c>
      <c r="F55" s="243">
        <v>2</v>
      </c>
      <c r="G55" s="140"/>
      <c r="H55" s="249"/>
      <c r="I55" s="139"/>
      <c r="J55" s="232"/>
      <c r="N55" s="234" t="b">
        <f>OR(Таблица19[[#This Row],[Щебень]]&gt;0,Таблица19[[#This Row],[Асфальт]]&gt;0,Таблица19[[#This Row],[Бетон]]&gt;0)</f>
        <v>0</v>
      </c>
      <c r="Q55" s="234">
        <v>53</v>
      </c>
      <c r="S55" s="235"/>
      <c r="T55" s="235"/>
    </row>
    <row r="56" spans="1:20" s="234" customFormat="1" x14ac:dyDescent="0.35">
      <c r="A56" s="146">
        <v>54</v>
      </c>
      <c r="B56" s="146" t="s">
        <v>106</v>
      </c>
      <c r="C56" s="146" t="s">
        <v>107</v>
      </c>
      <c r="D56" s="146" t="s">
        <v>539</v>
      </c>
      <c r="E56" s="254">
        <f>Таблица19[[#This Row],[Грунт]]+Таблица19[[#This Row],[Щебень]]+Таблица19[[#This Row],[Асфальт]]+Таблица19[[#This Row],[Бетон]]</f>
        <v>2</v>
      </c>
      <c r="F56" s="243">
        <v>2</v>
      </c>
      <c r="G56" s="140"/>
      <c r="H56" s="249"/>
      <c r="I56" s="139"/>
      <c r="J56" s="232"/>
      <c r="N56" s="234" t="b">
        <f>OR(Таблица19[[#This Row],[Щебень]]&gt;0,Таблица19[[#This Row],[Асфальт]]&gt;0,Таблица19[[#This Row],[Бетон]]&gt;0)</f>
        <v>0</v>
      </c>
      <c r="Q56" s="234">
        <v>54</v>
      </c>
      <c r="S56" s="235"/>
      <c r="T56" s="235"/>
    </row>
    <row r="57" spans="1:20" s="234" customFormat="1" x14ac:dyDescent="0.35">
      <c r="A57" s="146">
        <v>55</v>
      </c>
      <c r="B57" s="146" t="s">
        <v>108</v>
      </c>
      <c r="C57" s="146" t="s">
        <v>109</v>
      </c>
      <c r="D57" s="146" t="s">
        <v>539</v>
      </c>
      <c r="E57" s="254">
        <f>Таблица19[[#This Row],[Грунт]]+Таблица19[[#This Row],[Щебень]]+Таблица19[[#This Row],[Асфальт]]+Таблица19[[#This Row],[Бетон]]</f>
        <v>2</v>
      </c>
      <c r="F57" s="243">
        <v>2</v>
      </c>
      <c r="G57" s="140"/>
      <c r="H57" s="249"/>
      <c r="I57" s="139"/>
      <c r="J57" s="232"/>
      <c r="N57" s="234" t="b">
        <f>OR(Таблица19[[#This Row],[Щебень]]&gt;0,Таблица19[[#This Row],[Асфальт]]&gt;0,Таблица19[[#This Row],[Бетон]]&gt;0)</f>
        <v>0</v>
      </c>
      <c r="Q57" s="234">
        <v>55</v>
      </c>
      <c r="S57" s="235"/>
      <c r="T57" s="235"/>
    </row>
    <row r="58" spans="1:20" s="234" customFormat="1" x14ac:dyDescent="0.35">
      <c r="A58" s="146">
        <v>56</v>
      </c>
      <c r="B58" s="146" t="s">
        <v>110</v>
      </c>
      <c r="C58" s="146" t="s">
        <v>111</v>
      </c>
      <c r="D58" s="146" t="s">
        <v>539</v>
      </c>
      <c r="E58" s="254">
        <f>Таблица19[[#This Row],[Грунт]]+Таблица19[[#This Row],[Щебень]]+Таблица19[[#This Row],[Асфальт]]+Таблица19[[#This Row],[Бетон]]</f>
        <v>2</v>
      </c>
      <c r="F58" s="243">
        <v>2</v>
      </c>
      <c r="G58" s="140"/>
      <c r="H58" s="249"/>
      <c r="I58" s="139"/>
      <c r="J58" s="232"/>
      <c r="N58" s="234" t="b">
        <f>OR(Таблица19[[#This Row],[Щебень]]&gt;0,Таблица19[[#This Row],[Асфальт]]&gt;0,Таблица19[[#This Row],[Бетон]]&gt;0)</f>
        <v>0</v>
      </c>
      <c r="Q58" s="234">
        <v>56</v>
      </c>
      <c r="S58" s="235"/>
      <c r="T58" s="235"/>
    </row>
    <row r="59" spans="1:20" s="234" customFormat="1" x14ac:dyDescent="0.35">
      <c r="A59" s="146">
        <v>57</v>
      </c>
      <c r="B59" s="146" t="s">
        <v>112</v>
      </c>
      <c r="C59" s="146" t="s">
        <v>113</v>
      </c>
      <c r="D59" s="146" t="s">
        <v>539</v>
      </c>
      <c r="E59" s="254">
        <f>Таблица19[[#This Row],[Грунт]]+Таблица19[[#This Row],[Щебень]]+Таблица19[[#This Row],[Асфальт]]+Таблица19[[#This Row],[Бетон]]</f>
        <v>2</v>
      </c>
      <c r="F59" s="243"/>
      <c r="G59" s="140">
        <v>2</v>
      </c>
      <c r="H59" s="249"/>
      <c r="I59" s="139"/>
      <c r="J59" s="232"/>
      <c r="N59" s="234" t="b">
        <f>OR(Таблица19[[#This Row],[Щебень]]&gt;0,Таблица19[[#This Row],[Асфальт]]&gt;0,Таблица19[[#This Row],[Бетон]]&gt;0)</f>
        <v>1</v>
      </c>
      <c r="Q59" s="234">
        <v>57</v>
      </c>
      <c r="S59" s="235"/>
      <c r="T59" s="235"/>
    </row>
    <row r="60" spans="1:20" s="234" customFormat="1" ht="46.5" x14ac:dyDescent="0.35">
      <c r="A60" s="146">
        <v>58</v>
      </c>
      <c r="B60" s="146" t="s">
        <v>114</v>
      </c>
      <c r="C60" s="146" t="s">
        <v>533</v>
      </c>
      <c r="D60" s="146" t="s">
        <v>539</v>
      </c>
      <c r="E60" s="254">
        <f>Таблица19[[#This Row],[Грунт]]+Таблица19[[#This Row],[Щебень]]+Таблица19[[#This Row],[Асфальт]]+Таблица19[[#This Row],[Бетон]]</f>
        <v>4</v>
      </c>
      <c r="F60" s="243">
        <v>1.5</v>
      </c>
      <c r="G60" s="140">
        <v>2.5</v>
      </c>
      <c r="H60" s="249"/>
      <c r="I60" s="139"/>
      <c r="J60" s="232"/>
      <c r="K60" s="233" t="s">
        <v>557</v>
      </c>
      <c r="N60" s="234" t="b">
        <f>OR(Таблица19[[#This Row],[Щебень]]&gt;0,Таблица19[[#This Row],[Асфальт]]&gt;0,Таблица19[[#This Row],[Бетон]]&gt;0)</f>
        <v>1</v>
      </c>
      <c r="O60" s="234">
        <v>1</v>
      </c>
      <c r="P60" s="234">
        <v>1</v>
      </c>
      <c r="Q60" s="234">
        <v>58</v>
      </c>
      <c r="S60" s="235"/>
      <c r="T60" s="235"/>
    </row>
    <row r="61" spans="1:20" s="234" customFormat="1" x14ac:dyDescent="0.35">
      <c r="A61" s="146">
        <v>59</v>
      </c>
      <c r="B61" s="146" t="s">
        <v>115</v>
      </c>
      <c r="C61" s="146" t="s">
        <v>116</v>
      </c>
      <c r="D61" s="146" t="s">
        <v>539</v>
      </c>
      <c r="E61" s="254">
        <f>Таблица19[[#This Row],[Грунт]]+Таблица19[[#This Row],[Щебень]]+Таблица19[[#This Row],[Асфальт]]+Таблица19[[#This Row],[Бетон]]</f>
        <v>2</v>
      </c>
      <c r="F61" s="243">
        <v>2</v>
      </c>
      <c r="G61" s="140"/>
      <c r="H61" s="249"/>
      <c r="I61" s="139"/>
      <c r="J61" s="232"/>
      <c r="N61" s="234" t="b">
        <f>OR(Таблица19[[#This Row],[Щебень]]&gt;0,Таблица19[[#This Row],[Асфальт]]&gt;0,Таблица19[[#This Row],[Бетон]]&gt;0)</f>
        <v>0</v>
      </c>
      <c r="Q61" s="234">
        <v>59</v>
      </c>
      <c r="S61" s="235"/>
      <c r="T61" s="235"/>
    </row>
    <row r="62" spans="1:20" s="234" customFormat="1" ht="46.5" x14ac:dyDescent="0.35">
      <c r="A62" s="146">
        <v>60</v>
      </c>
      <c r="B62" s="146" t="s">
        <v>117</v>
      </c>
      <c r="C62" s="146" t="s">
        <v>118</v>
      </c>
      <c r="D62" s="146" t="s">
        <v>548</v>
      </c>
      <c r="E62" s="254">
        <f>Таблица19[[#This Row],[Грунт]]+Таблица19[[#This Row],[Щебень]]+Таблица19[[#This Row],[Асфальт]]+Таблица19[[#This Row],[Бетон]]</f>
        <v>3</v>
      </c>
      <c r="F62" s="243"/>
      <c r="G62" s="140"/>
      <c r="H62" s="249">
        <v>3</v>
      </c>
      <c r="I62" s="139"/>
      <c r="J62" s="232"/>
      <c r="N62" s="234" t="b">
        <f>OR(Таблица19[[#This Row],[Щебень]]&gt;0,Таблица19[[#This Row],[Асфальт]]&gt;0,Таблица19[[#This Row],[Бетон]]&gt;0)</f>
        <v>1</v>
      </c>
      <c r="O62" s="234">
        <v>1</v>
      </c>
      <c r="P62" s="234">
        <v>1</v>
      </c>
      <c r="Q62" s="234">
        <v>60</v>
      </c>
      <c r="S62" s="235"/>
      <c r="T62" s="235"/>
    </row>
    <row r="63" spans="1:20" s="234" customFormat="1" ht="46.5" x14ac:dyDescent="0.35">
      <c r="A63" s="146">
        <v>61</v>
      </c>
      <c r="B63" s="146" t="s">
        <v>119</v>
      </c>
      <c r="C63" s="146" t="s">
        <v>120</v>
      </c>
      <c r="D63" s="146" t="s">
        <v>548</v>
      </c>
      <c r="E63" s="254">
        <f>Таблица19[[#This Row],[Грунт]]+Таблица19[[#This Row],[Щебень]]+Таблица19[[#This Row],[Асфальт]]+Таблица19[[#This Row],[Бетон]]</f>
        <v>2.5</v>
      </c>
      <c r="F63" s="243">
        <v>2.5</v>
      </c>
      <c r="G63" s="140"/>
      <c r="H63" s="249"/>
      <c r="I63" s="139"/>
      <c r="J63" s="232"/>
      <c r="N63" s="234" t="b">
        <f>OR(Таблица19[[#This Row],[Щебень]]&gt;0,Таблица19[[#This Row],[Асфальт]]&gt;0,Таблица19[[#This Row],[Бетон]]&gt;0)</f>
        <v>0</v>
      </c>
      <c r="Q63" s="234">
        <v>61</v>
      </c>
      <c r="S63" s="235"/>
      <c r="T63" s="235"/>
    </row>
    <row r="64" spans="1:20" s="234" customFormat="1" ht="46.5" x14ac:dyDescent="0.35">
      <c r="A64" s="146">
        <v>62</v>
      </c>
      <c r="B64" s="146" t="s">
        <v>121</v>
      </c>
      <c r="C64" s="146" t="s">
        <v>122</v>
      </c>
      <c r="D64" s="146" t="s">
        <v>548</v>
      </c>
      <c r="E64" s="254">
        <f>Таблица19[[#This Row],[Грунт]]+Таблица19[[#This Row],[Щебень]]+Таблица19[[#This Row],[Асфальт]]+Таблица19[[#This Row],[Бетон]]</f>
        <v>1.5</v>
      </c>
      <c r="F64" s="243">
        <v>1.5</v>
      </c>
      <c r="G64" s="140"/>
      <c r="H64" s="249"/>
      <c r="I64" s="139"/>
      <c r="J64" s="232"/>
      <c r="N64" s="234" t="b">
        <f>OR(Таблица19[[#This Row],[Щебень]]&gt;0,Таблица19[[#This Row],[Асфальт]]&gt;0,Таблица19[[#This Row],[Бетон]]&gt;0)</f>
        <v>0</v>
      </c>
      <c r="Q64" s="234">
        <v>62</v>
      </c>
      <c r="S64" s="235"/>
      <c r="T64" s="235"/>
    </row>
    <row r="65" spans="1:20" s="234" customFormat="1" x14ac:dyDescent="0.35">
      <c r="A65" s="146">
        <v>63</v>
      </c>
      <c r="B65" s="146" t="s">
        <v>123</v>
      </c>
      <c r="C65" s="146" t="s">
        <v>124</v>
      </c>
      <c r="D65" s="146" t="s">
        <v>545</v>
      </c>
      <c r="E65" s="254">
        <v>2.1</v>
      </c>
      <c r="F65" s="243"/>
      <c r="G65" s="140"/>
      <c r="H65" s="249">
        <v>2.1</v>
      </c>
      <c r="I65" s="139"/>
      <c r="J65" s="232"/>
      <c r="N65" s="234" t="b">
        <f>OR(Таблица19[[#This Row],[Щебень]]&gt;0,Таблица19[[#This Row],[Асфальт]]&gt;0,Таблица19[[#This Row],[Бетон]]&gt;0)</f>
        <v>1</v>
      </c>
      <c r="O65" s="234">
        <v>1</v>
      </c>
      <c r="P65" s="234">
        <v>1</v>
      </c>
      <c r="Q65" s="234">
        <v>63</v>
      </c>
      <c r="S65" s="235"/>
      <c r="T65" s="235"/>
    </row>
    <row r="66" spans="1:20" s="234" customFormat="1" x14ac:dyDescent="0.35">
      <c r="A66" s="146">
        <v>64</v>
      </c>
      <c r="B66" s="146" t="s">
        <v>125</v>
      </c>
      <c r="C66" s="146" t="s">
        <v>126</v>
      </c>
      <c r="D66" s="146" t="s">
        <v>545</v>
      </c>
      <c r="E66" s="254">
        <f>Таблица19[[#This Row],[Грунт]]+Таблица19[[#This Row],[Щебень]]+Таблица19[[#This Row],[Асфальт]]+Таблица19[[#This Row],[Бетон]]</f>
        <v>3.5</v>
      </c>
      <c r="F66" s="243">
        <v>3.5</v>
      </c>
      <c r="G66" s="140"/>
      <c r="H66" s="249"/>
      <c r="I66" s="139"/>
      <c r="J66" s="232"/>
      <c r="N66" s="234" t="b">
        <f>OR(Таблица19[[#This Row],[Щебень]]&gt;0,Таблица19[[#This Row],[Асфальт]]&gt;0,Таблица19[[#This Row],[Бетон]]&gt;0)</f>
        <v>0</v>
      </c>
      <c r="Q66" s="234">
        <v>64</v>
      </c>
      <c r="S66" s="235"/>
      <c r="T66" s="235"/>
    </row>
    <row r="67" spans="1:20" s="234" customFormat="1" x14ac:dyDescent="0.35">
      <c r="A67" s="146">
        <v>65</v>
      </c>
      <c r="B67" s="146" t="s">
        <v>127</v>
      </c>
      <c r="C67" s="146" t="s">
        <v>128</v>
      </c>
      <c r="D67" s="146" t="s">
        <v>545</v>
      </c>
      <c r="E67" s="254">
        <f>Таблица19[[#This Row],[Грунт]]+Таблица19[[#This Row],[Щебень]]+Таблица19[[#This Row],[Асфальт]]+Таблица19[[#This Row],[Бетон]]</f>
        <v>3</v>
      </c>
      <c r="F67" s="243">
        <v>3</v>
      </c>
      <c r="G67" s="140"/>
      <c r="H67" s="249"/>
      <c r="I67" s="139"/>
      <c r="J67" s="232"/>
      <c r="N67" s="234" t="b">
        <f>OR(Таблица19[[#This Row],[Щебень]]&gt;0,Таблица19[[#This Row],[Асфальт]]&gt;0,Таблица19[[#This Row],[Бетон]]&gt;0)</f>
        <v>0</v>
      </c>
      <c r="Q67" s="234">
        <v>65</v>
      </c>
      <c r="S67" s="235"/>
      <c r="T67" s="235"/>
    </row>
    <row r="68" spans="1:20" s="234" customFormat="1" x14ac:dyDescent="0.35">
      <c r="A68" s="146">
        <v>66</v>
      </c>
      <c r="B68" s="146" t="s">
        <v>129</v>
      </c>
      <c r="C68" s="146" t="s">
        <v>130</v>
      </c>
      <c r="D68" s="146" t="s">
        <v>545</v>
      </c>
      <c r="E68" s="254">
        <f>Таблица19[[#This Row],[Грунт]]+Таблица19[[#This Row],[Щебень]]+Таблица19[[#This Row],[Асфальт]]+Таблица19[[#This Row],[Бетон]]</f>
        <v>2</v>
      </c>
      <c r="F68" s="243"/>
      <c r="G68" s="140">
        <v>2</v>
      </c>
      <c r="H68" s="249"/>
      <c r="I68" s="139"/>
      <c r="J68" s="232"/>
      <c r="N68" s="234" t="b">
        <f>OR(Таблица19[[#This Row],[Щебень]]&gt;0,Таблица19[[#This Row],[Асфальт]]&gt;0,Таблица19[[#This Row],[Бетон]]&gt;0)</f>
        <v>1</v>
      </c>
      <c r="Q68" s="234">
        <v>66</v>
      </c>
      <c r="S68" s="235"/>
      <c r="T68" s="235"/>
    </row>
    <row r="69" spans="1:20" s="234" customFormat="1" x14ac:dyDescent="0.35">
      <c r="A69" s="146">
        <v>67</v>
      </c>
      <c r="B69" s="146" t="s">
        <v>131</v>
      </c>
      <c r="C69" s="146" t="s">
        <v>132</v>
      </c>
      <c r="D69" s="146" t="s">
        <v>545</v>
      </c>
      <c r="E69" s="254">
        <f>Таблица19[[#This Row],[Грунт]]+Таблица19[[#This Row],[Щебень]]+Таблица19[[#This Row],[Асфальт]]+Таблица19[[#This Row],[Бетон]]</f>
        <v>0.5</v>
      </c>
      <c r="F69" s="243"/>
      <c r="G69" s="140">
        <v>0.5</v>
      </c>
      <c r="H69" s="249"/>
      <c r="I69" s="139"/>
      <c r="J69" s="232"/>
      <c r="N69" s="234" t="b">
        <f>OR(Таблица19[[#This Row],[Щебень]]&gt;0,Таблица19[[#This Row],[Асфальт]]&gt;0,Таблица19[[#This Row],[Бетон]]&gt;0)</f>
        <v>1</v>
      </c>
      <c r="Q69" s="234">
        <v>67</v>
      </c>
      <c r="S69" s="235"/>
      <c r="T69" s="235"/>
    </row>
    <row r="70" spans="1:20" s="234" customFormat="1" x14ac:dyDescent="0.35">
      <c r="A70" s="146">
        <v>68</v>
      </c>
      <c r="B70" s="146" t="s">
        <v>133</v>
      </c>
      <c r="C70" s="146" t="s">
        <v>134</v>
      </c>
      <c r="D70" s="146" t="s">
        <v>545</v>
      </c>
      <c r="E70" s="254">
        <f>Таблица19[[#This Row],[Грунт]]+Таблица19[[#This Row],[Щебень]]+Таблица19[[#This Row],[Асфальт]]+Таблица19[[#This Row],[Бетон]]</f>
        <v>4</v>
      </c>
      <c r="F70" s="243">
        <v>4</v>
      </c>
      <c r="G70" s="140"/>
      <c r="H70" s="249"/>
      <c r="I70" s="139"/>
      <c r="J70" s="232"/>
      <c r="N70" s="234" t="b">
        <f>OR(Таблица19[[#This Row],[Щебень]]&gt;0,Таблица19[[#This Row],[Асфальт]]&gt;0,Таблица19[[#This Row],[Бетон]]&gt;0)</f>
        <v>0</v>
      </c>
      <c r="Q70" s="234">
        <v>68</v>
      </c>
      <c r="S70" s="235"/>
      <c r="T70" s="235"/>
    </row>
    <row r="71" spans="1:20" s="234" customFormat="1" x14ac:dyDescent="0.35">
      <c r="A71" s="146">
        <v>69</v>
      </c>
      <c r="B71" s="146" t="s">
        <v>135</v>
      </c>
      <c r="C71" s="146" t="s">
        <v>136</v>
      </c>
      <c r="D71" s="146" t="s">
        <v>545</v>
      </c>
      <c r="E71" s="254">
        <f>Таблица19[[#This Row],[Грунт]]+Таблица19[[#This Row],[Щебень]]+Таблица19[[#This Row],[Асфальт]]+Таблица19[[#This Row],[Бетон]]</f>
        <v>0.2</v>
      </c>
      <c r="F71" s="243">
        <v>0.2</v>
      </c>
      <c r="G71" s="140"/>
      <c r="H71" s="249"/>
      <c r="I71" s="139"/>
      <c r="J71" s="232"/>
      <c r="N71" s="234" t="b">
        <f>OR(Таблица19[[#This Row],[Щебень]]&gt;0,Таблица19[[#This Row],[Асфальт]]&gt;0,Таблица19[[#This Row],[Бетон]]&gt;0)</f>
        <v>0</v>
      </c>
      <c r="Q71" s="234">
        <v>69</v>
      </c>
      <c r="S71" s="235"/>
      <c r="T71" s="235"/>
    </row>
    <row r="72" spans="1:20" s="234" customFormat="1" x14ac:dyDescent="0.35">
      <c r="A72" s="146">
        <v>70</v>
      </c>
      <c r="B72" s="146" t="s">
        <v>137</v>
      </c>
      <c r="C72" s="146" t="s">
        <v>138</v>
      </c>
      <c r="D72" s="146" t="s">
        <v>545</v>
      </c>
      <c r="E72" s="254">
        <f>Таблица19[[#This Row],[Грунт]]+Таблица19[[#This Row],[Щебень]]+Таблица19[[#This Row],[Асфальт]]+Таблица19[[#This Row],[Бетон]]</f>
        <v>1.5</v>
      </c>
      <c r="F72" s="243">
        <v>0</v>
      </c>
      <c r="G72" s="140">
        <v>1.5</v>
      </c>
      <c r="H72" s="249"/>
      <c r="I72" s="139"/>
      <c r="J72" s="232"/>
      <c r="N72" s="234" t="b">
        <f>OR(Таблица19[[#This Row],[Щебень]]&gt;0,Таблица19[[#This Row],[Асфальт]]&gt;0,Таблица19[[#This Row],[Бетон]]&gt;0)</f>
        <v>1</v>
      </c>
      <c r="Q72" s="234">
        <v>70</v>
      </c>
      <c r="S72" s="235"/>
      <c r="T72" s="235"/>
    </row>
    <row r="73" spans="1:20" s="234" customFormat="1" x14ac:dyDescent="0.35">
      <c r="A73" s="146">
        <v>71</v>
      </c>
      <c r="B73" s="146" t="s">
        <v>139</v>
      </c>
      <c r="C73" s="146" t="s">
        <v>140</v>
      </c>
      <c r="D73" s="146" t="s">
        <v>545</v>
      </c>
      <c r="E73" s="254">
        <f>Таблица19[[#This Row],[Грунт]]+Таблица19[[#This Row],[Щебень]]+Таблица19[[#This Row],[Асфальт]]+Таблица19[[#This Row],[Бетон]]</f>
        <v>3</v>
      </c>
      <c r="F73" s="243">
        <v>3</v>
      </c>
      <c r="G73" s="140"/>
      <c r="H73" s="249"/>
      <c r="I73" s="139"/>
      <c r="J73" s="232"/>
      <c r="N73" s="234" t="b">
        <f>OR(Таблица19[[#This Row],[Щебень]]&gt;0,Таблица19[[#This Row],[Асфальт]]&gt;0,Таблица19[[#This Row],[Бетон]]&gt;0)</f>
        <v>0</v>
      </c>
      <c r="Q73" s="234">
        <v>71</v>
      </c>
      <c r="S73" s="235"/>
      <c r="T73" s="235"/>
    </row>
    <row r="74" spans="1:20" s="234" customFormat="1" x14ac:dyDescent="0.35">
      <c r="A74" s="146">
        <v>72</v>
      </c>
      <c r="B74" s="146" t="s">
        <v>141</v>
      </c>
      <c r="C74" s="146" t="s">
        <v>142</v>
      </c>
      <c r="D74" s="146" t="s">
        <v>545</v>
      </c>
      <c r="E74" s="254">
        <f>Таблица19[[#This Row],[Грунт]]+Таблица19[[#This Row],[Щебень]]+Таблица19[[#This Row],[Асфальт]]+Таблица19[[#This Row],[Бетон]]</f>
        <v>2</v>
      </c>
      <c r="F74" s="243"/>
      <c r="G74" s="140"/>
      <c r="H74" s="249">
        <v>2</v>
      </c>
      <c r="I74" s="139"/>
      <c r="J74" s="232"/>
      <c r="K74" s="233" t="s">
        <v>557</v>
      </c>
      <c r="N74" s="234" t="b">
        <f>OR(Таблица19[[#This Row],[Щебень]]&gt;0,Таблица19[[#This Row],[Асфальт]]&gt;0,Таблица19[[#This Row],[Бетон]]&gt;0)</f>
        <v>1</v>
      </c>
      <c r="Q74" s="234">
        <v>72</v>
      </c>
      <c r="S74" s="235"/>
      <c r="T74" s="235"/>
    </row>
    <row r="75" spans="1:20" s="234" customFormat="1" x14ac:dyDescent="0.35">
      <c r="A75" s="146">
        <v>73</v>
      </c>
      <c r="B75" s="146" t="s">
        <v>143</v>
      </c>
      <c r="C75" s="146" t="s">
        <v>144</v>
      </c>
      <c r="D75" s="146" t="s">
        <v>545</v>
      </c>
      <c r="E75" s="254">
        <f>Таблица19[[#This Row],[Грунт]]+Таблица19[[#This Row],[Щебень]]+Таблица19[[#This Row],[Асфальт]]+Таблица19[[#This Row],[Бетон]]</f>
        <v>1</v>
      </c>
      <c r="F75" s="243">
        <v>1</v>
      </c>
      <c r="G75" s="140"/>
      <c r="H75" s="249"/>
      <c r="I75" s="139"/>
      <c r="J75" s="232"/>
      <c r="N75" s="234" t="b">
        <f>OR(Таблица19[[#This Row],[Щебень]]&gt;0,Таблица19[[#This Row],[Асфальт]]&gt;0,Таблица19[[#This Row],[Бетон]]&gt;0)</f>
        <v>0</v>
      </c>
      <c r="Q75" s="234">
        <v>73</v>
      </c>
      <c r="S75" s="235"/>
      <c r="T75" s="235"/>
    </row>
    <row r="76" spans="1:20" s="234" customFormat="1" x14ac:dyDescent="0.35">
      <c r="A76" s="146">
        <v>74</v>
      </c>
      <c r="B76" s="146" t="s">
        <v>145</v>
      </c>
      <c r="C76" s="146" t="s">
        <v>146</v>
      </c>
      <c r="D76" s="146" t="s">
        <v>543</v>
      </c>
      <c r="E76" s="254">
        <f>Таблица19[[#This Row],[Грунт]]+Таблица19[[#This Row],[Щебень]]+Таблица19[[#This Row],[Асфальт]]+Таблица19[[#This Row],[Бетон]]</f>
        <v>1.5</v>
      </c>
      <c r="F76" s="243">
        <v>1.5</v>
      </c>
      <c r="G76" s="140"/>
      <c r="H76" s="249"/>
      <c r="I76" s="139"/>
      <c r="J76" s="232"/>
      <c r="K76" s="233" t="s">
        <v>557</v>
      </c>
      <c r="N76" s="234" t="b">
        <f>OR(Таблица19[[#This Row],[Щебень]]&gt;0,Таблица19[[#This Row],[Асфальт]]&gt;0,Таблица19[[#This Row],[Бетон]]&gt;0)</f>
        <v>0</v>
      </c>
      <c r="Q76" s="234">
        <v>74</v>
      </c>
      <c r="S76" s="235"/>
      <c r="T76" s="235"/>
    </row>
    <row r="77" spans="1:20" s="234" customFormat="1" x14ac:dyDescent="0.35">
      <c r="A77" s="146">
        <v>75</v>
      </c>
      <c r="B77" s="146" t="s">
        <v>147</v>
      </c>
      <c r="C77" s="146" t="s">
        <v>148</v>
      </c>
      <c r="D77" s="146" t="s">
        <v>543</v>
      </c>
      <c r="E77" s="254">
        <f>Таблица19[[#This Row],[Грунт]]+Таблица19[[#This Row],[Щебень]]+Таблица19[[#This Row],[Асфальт]]+Таблица19[[#This Row],[Бетон]]</f>
        <v>4</v>
      </c>
      <c r="F77" s="243">
        <v>4</v>
      </c>
      <c r="G77" s="140"/>
      <c r="H77" s="249"/>
      <c r="I77" s="139"/>
      <c r="J77" s="232"/>
      <c r="N77" s="234" t="b">
        <f>OR(Таблица19[[#This Row],[Щебень]]&gt;0,Таблица19[[#This Row],[Асфальт]]&gt;0,Таблица19[[#This Row],[Бетон]]&gt;0)</f>
        <v>0</v>
      </c>
      <c r="Q77" s="234">
        <v>75</v>
      </c>
      <c r="S77" s="235"/>
      <c r="T77" s="235"/>
    </row>
    <row r="78" spans="1:20" s="234" customFormat="1" x14ac:dyDescent="0.35">
      <c r="A78" s="146">
        <v>76</v>
      </c>
      <c r="B78" s="146" t="s">
        <v>149</v>
      </c>
      <c r="C78" s="146" t="s">
        <v>150</v>
      </c>
      <c r="D78" s="146" t="s">
        <v>543</v>
      </c>
      <c r="E78" s="254">
        <f>Таблица19[[#This Row],[Грунт]]+Таблица19[[#This Row],[Щебень]]+Таблица19[[#This Row],[Асфальт]]+Таблица19[[#This Row],[Бетон]]</f>
        <v>0.5</v>
      </c>
      <c r="F78" s="243">
        <v>0.5</v>
      </c>
      <c r="G78" s="140"/>
      <c r="H78" s="249"/>
      <c r="I78" s="139"/>
      <c r="J78" s="232"/>
      <c r="N78" s="234" t="b">
        <f>OR(Таблица19[[#This Row],[Щебень]]&gt;0,Таблица19[[#This Row],[Асфальт]]&gt;0,Таблица19[[#This Row],[Бетон]]&gt;0)</f>
        <v>0</v>
      </c>
      <c r="Q78" s="234">
        <v>76</v>
      </c>
      <c r="S78" s="235"/>
      <c r="T78" s="235"/>
    </row>
    <row r="79" spans="1:20" s="234" customFormat="1" x14ac:dyDescent="0.35">
      <c r="A79" s="146">
        <v>77</v>
      </c>
      <c r="B79" s="146" t="s">
        <v>151</v>
      </c>
      <c r="C79" s="146" t="s">
        <v>152</v>
      </c>
      <c r="D79" s="146" t="s">
        <v>543</v>
      </c>
      <c r="E79" s="254">
        <f>Таблица19[[#This Row],[Грунт]]+Таблица19[[#This Row],[Щебень]]+Таблица19[[#This Row],[Асфальт]]+Таблица19[[#This Row],[Бетон]]</f>
        <v>1</v>
      </c>
      <c r="F79" s="243"/>
      <c r="G79" s="140"/>
      <c r="H79" s="249">
        <v>1</v>
      </c>
      <c r="I79" s="139"/>
      <c r="J79" s="232"/>
      <c r="N79" s="234" t="b">
        <f>OR(Таблица19[[#This Row],[Щебень]]&gt;0,Таблица19[[#This Row],[Асфальт]]&gt;0,Таблица19[[#This Row],[Бетон]]&gt;0)</f>
        <v>1</v>
      </c>
      <c r="O79" s="234">
        <v>1</v>
      </c>
      <c r="Q79" s="234">
        <v>77</v>
      </c>
      <c r="S79" s="235"/>
      <c r="T79" s="235"/>
    </row>
    <row r="80" spans="1:20" s="234" customFormat="1" ht="46.5" x14ac:dyDescent="0.35">
      <c r="A80" s="146">
        <v>78</v>
      </c>
      <c r="B80" s="146" t="s">
        <v>153</v>
      </c>
      <c r="C80" s="146" t="s">
        <v>154</v>
      </c>
      <c r="D80" s="146" t="s">
        <v>543</v>
      </c>
      <c r="E80" s="254">
        <f>Таблица19[[#This Row],[Грунт]]+Таблица19[[#This Row],[Щебень]]+Таблица19[[#This Row],[Асфальт]]+Таблица19[[#This Row],[Бетон]]</f>
        <v>7</v>
      </c>
      <c r="F80" s="243"/>
      <c r="G80" s="140"/>
      <c r="H80" s="249">
        <v>7</v>
      </c>
      <c r="I80" s="139"/>
      <c r="J80" s="232"/>
      <c r="K80" s="233" t="s">
        <v>557</v>
      </c>
      <c r="N80" s="234" t="b">
        <f>OR(Таблица19[[#This Row],[Щебень]]&gt;0,Таблица19[[#This Row],[Асфальт]]&gt;0,Таблица19[[#This Row],[Бетон]]&gt;0)</f>
        <v>1</v>
      </c>
      <c r="Q80" s="234">
        <v>78</v>
      </c>
      <c r="S80" s="235"/>
      <c r="T80" s="235"/>
    </row>
    <row r="81" spans="1:20" s="234" customFormat="1" x14ac:dyDescent="0.35">
      <c r="A81" s="146">
        <v>79</v>
      </c>
      <c r="B81" s="146" t="s">
        <v>155</v>
      </c>
      <c r="C81" s="146" t="s">
        <v>156</v>
      </c>
      <c r="D81" s="146" t="s">
        <v>543</v>
      </c>
      <c r="E81" s="254">
        <f>Таблица19[[#This Row],[Грунт]]+Таблица19[[#This Row],[Щебень]]+Таблица19[[#This Row],[Асфальт]]+Таблица19[[#This Row],[Бетон]]</f>
        <v>2</v>
      </c>
      <c r="F81" s="243">
        <v>2</v>
      </c>
      <c r="G81" s="140"/>
      <c r="H81" s="249"/>
      <c r="I81" s="139"/>
      <c r="J81" s="232"/>
      <c r="N81" s="234" t="b">
        <f>OR(Таблица19[[#This Row],[Щебень]]&gt;0,Таблица19[[#This Row],[Асфальт]]&gt;0,Таблица19[[#This Row],[Бетон]]&gt;0)</f>
        <v>0</v>
      </c>
      <c r="Q81" s="234">
        <v>79</v>
      </c>
      <c r="S81" s="235"/>
      <c r="T81" s="235"/>
    </row>
    <row r="82" spans="1:20" s="234" customFormat="1" x14ac:dyDescent="0.35">
      <c r="A82" s="146">
        <v>80</v>
      </c>
      <c r="B82" s="146" t="s">
        <v>157</v>
      </c>
      <c r="C82" s="146" t="s">
        <v>158</v>
      </c>
      <c r="D82" s="146" t="s">
        <v>543</v>
      </c>
      <c r="E82" s="254">
        <f>Таблица19[[#This Row],[Грунт]]+Таблица19[[#This Row],[Щебень]]+Таблица19[[#This Row],[Асфальт]]+Таблица19[[#This Row],[Бетон]]</f>
        <v>1.5</v>
      </c>
      <c r="F82" s="243">
        <v>1.5</v>
      </c>
      <c r="G82" s="140"/>
      <c r="H82" s="249"/>
      <c r="I82" s="139"/>
      <c r="J82" s="232"/>
      <c r="N82" s="234" t="b">
        <f>OR(Таблица19[[#This Row],[Щебень]]&gt;0,Таблица19[[#This Row],[Асфальт]]&gt;0,Таблица19[[#This Row],[Бетон]]&gt;0)</f>
        <v>0</v>
      </c>
      <c r="Q82" s="234">
        <v>80</v>
      </c>
      <c r="S82" s="235"/>
      <c r="T82" s="235"/>
    </row>
    <row r="83" spans="1:20" s="234" customFormat="1" x14ac:dyDescent="0.35">
      <c r="A83" s="146">
        <v>81</v>
      </c>
      <c r="B83" s="146" t="s">
        <v>159</v>
      </c>
      <c r="C83" s="146" t="s">
        <v>160</v>
      </c>
      <c r="D83" s="146" t="s">
        <v>543</v>
      </c>
      <c r="E83" s="254">
        <f>Таблица19[[#This Row],[Грунт]]+Таблица19[[#This Row],[Щебень]]+Таблица19[[#This Row],[Асфальт]]+Таблица19[[#This Row],[Бетон]]</f>
        <v>3</v>
      </c>
      <c r="F83" s="243">
        <v>3</v>
      </c>
      <c r="G83" s="140"/>
      <c r="H83" s="249"/>
      <c r="I83" s="139"/>
      <c r="J83" s="232"/>
      <c r="N83" s="234" t="b">
        <f>OR(Таблица19[[#This Row],[Щебень]]&gt;0,Таблица19[[#This Row],[Асфальт]]&gt;0,Таблица19[[#This Row],[Бетон]]&gt;0)</f>
        <v>0</v>
      </c>
      <c r="Q83" s="234">
        <v>81</v>
      </c>
      <c r="S83" s="235"/>
      <c r="T83" s="235"/>
    </row>
    <row r="84" spans="1:20" s="234" customFormat="1" x14ac:dyDescent="0.35">
      <c r="A84" s="146">
        <v>82</v>
      </c>
      <c r="B84" s="146" t="s">
        <v>161</v>
      </c>
      <c r="C84" s="146" t="s">
        <v>162</v>
      </c>
      <c r="D84" s="146" t="s">
        <v>543</v>
      </c>
      <c r="E84" s="254">
        <f>Таблица19[[#This Row],[Грунт]]+Таблица19[[#This Row],[Щебень]]+Таблица19[[#This Row],[Асфальт]]+Таблица19[[#This Row],[Бетон]]</f>
        <v>2</v>
      </c>
      <c r="F84" s="243">
        <v>2</v>
      </c>
      <c r="G84" s="140"/>
      <c r="H84" s="249"/>
      <c r="I84" s="139"/>
      <c r="J84" s="232"/>
      <c r="N84" s="234" t="b">
        <f>OR(Таблица19[[#This Row],[Щебень]]&gt;0,Таблица19[[#This Row],[Асфальт]]&gt;0,Таблица19[[#This Row],[Бетон]]&gt;0)</f>
        <v>0</v>
      </c>
      <c r="Q84" s="234">
        <v>82</v>
      </c>
      <c r="S84" s="235"/>
      <c r="T84" s="235"/>
    </row>
    <row r="85" spans="1:20" s="234" customFormat="1" x14ac:dyDescent="0.35">
      <c r="A85" s="146">
        <v>83</v>
      </c>
      <c r="B85" s="146" t="s">
        <v>163</v>
      </c>
      <c r="C85" s="146" t="s">
        <v>164</v>
      </c>
      <c r="D85" s="146" t="s">
        <v>571</v>
      </c>
      <c r="E85" s="254">
        <f>Таблица19[[#This Row],[Грунт]]+Таблица19[[#This Row],[Щебень]]+Таблица19[[#This Row],[Асфальт]]+Таблица19[[#This Row],[Бетон]]</f>
        <v>5</v>
      </c>
      <c r="F85" s="243"/>
      <c r="G85" s="140">
        <v>5</v>
      </c>
      <c r="H85" s="249"/>
      <c r="I85" s="139"/>
      <c r="J85" s="232"/>
      <c r="K85" s="233" t="s">
        <v>557</v>
      </c>
      <c r="N85" s="234" t="b">
        <f>OR(Таблица19[[#This Row],[Щебень]]&gt;0,Таблица19[[#This Row],[Асфальт]]&gt;0,Таблица19[[#This Row],[Бетон]]&gt;0)</f>
        <v>1</v>
      </c>
      <c r="Q85" s="234">
        <v>83</v>
      </c>
      <c r="S85" s="235"/>
      <c r="T85" s="235"/>
    </row>
    <row r="86" spans="1:20" s="234" customFormat="1" x14ac:dyDescent="0.35">
      <c r="A86" s="146">
        <v>84</v>
      </c>
      <c r="B86" s="146" t="s">
        <v>165</v>
      </c>
      <c r="C86" s="146" t="s">
        <v>166</v>
      </c>
      <c r="D86" s="146" t="s">
        <v>571</v>
      </c>
      <c r="E86" s="254">
        <f>Таблица19[[#This Row],[Грунт]]+Таблица19[[#This Row],[Щебень]]+Таблица19[[#This Row],[Асфальт]]+Таблица19[[#This Row],[Бетон]]</f>
        <v>2</v>
      </c>
      <c r="F86" s="243"/>
      <c r="G86" s="140">
        <v>2</v>
      </c>
      <c r="H86" s="249"/>
      <c r="I86" s="139"/>
      <c r="J86" s="232"/>
      <c r="K86" s="233" t="s">
        <v>557</v>
      </c>
      <c r="N86" s="234" t="b">
        <f>OR(Таблица19[[#This Row],[Щебень]]&gt;0,Таблица19[[#This Row],[Асфальт]]&gt;0,Таблица19[[#This Row],[Бетон]]&gt;0)</f>
        <v>1</v>
      </c>
      <c r="Q86" s="234">
        <v>84</v>
      </c>
      <c r="S86" s="235"/>
      <c r="T86" s="235"/>
    </row>
    <row r="87" spans="1:20" s="234" customFormat="1" x14ac:dyDescent="0.35">
      <c r="A87" s="146">
        <v>85</v>
      </c>
      <c r="B87" s="146" t="s">
        <v>167</v>
      </c>
      <c r="C87" s="146" t="s">
        <v>168</v>
      </c>
      <c r="D87" s="146" t="s">
        <v>571</v>
      </c>
      <c r="E87" s="254">
        <f>Таблица19[[#This Row],[Грунт]]+Таблица19[[#This Row],[Щебень]]+Таблица19[[#This Row],[Асфальт]]+Таблица19[[#This Row],[Бетон]]</f>
        <v>0.5</v>
      </c>
      <c r="F87" s="243">
        <v>0.5</v>
      </c>
      <c r="G87" s="140"/>
      <c r="H87" s="249"/>
      <c r="I87" s="139"/>
      <c r="J87" s="232"/>
      <c r="N87" s="234" t="b">
        <f>OR(Таблица19[[#This Row],[Щебень]]&gt;0,Таблица19[[#This Row],[Асфальт]]&gt;0,Таблица19[[#This Row],[Бетон]]&gt;0)</f>
        <v>0</v>
      </c>
      <c r="Q87" s="234">
        <v>85</v>
      </c>
      <c r="S87" s="235"/>
      <c r="T87" s="235"/>
    </row>
    <row r="88" spans="1:20" s="234" customFormat="1" x14ac:dyDescent="0.35">
      <c r="A88" s="146">
        <v>86</v>
      </c>
      <c r="B88" s="146" t="s">
        <v>169</v>
      </c>
      <c r="C88" s="146" t="s">
        <v>170</v>
      </c>
      <c r="D88" s="146" t="s">
        <v>571</v>
      </c>
      <c r="E88" s="254">
        <f>Таблица19[[#This Row],[Грунт]]+Таблица19[[#This Row],[Щебень]]+Таблица19[[#This Row],[Асфальт]]+Таблица19[[#This Row],[Бетон]]</f>
        <v>1</v>
      </c>
      <c r="F88" s="243">
        <v>1</v>
      </c>
      <c r="G88" s="140"/>
      <c r="H88" s="249"/>
      <c r="I88" s="139"/>
      <c r="J88" s="232"/>
      <c r="N88" s="234" t="b">
        <f>OR(Таблица19[[#This Row],[Щебень]]&gt;0,Таблица19[[#This Row],[Асфальт]]&gt;0,Таблица19[[#This Row],[Бетон]]&gt;0)</f>
        <v>0</v>
      </c>
      <c r="O88" s="234" t="s">
        <v>569</v>
      </c>
      <c r="Q88" s="234">
        <v>86</v>
      </c>
      <c r="S88" s="235"/>
      <c r="T88" s="235"/>
    </row>
    <row r="89" spans="1:20" s="234" customFormat="1" x14ac:dyDescent="0.35">
      <c r="A89" s="146">
        <v>87</v>
      </c>
      <c r="B89" s="146" t="s">
        <v>171</v>
      </c>
      <c r="C89" s="146" t="s">
        <v>172</v>
      </c>
      <c r="D89" s="146" t="s">
        <v>571</v>
      </c>
      <c r="E89" s="254">
        <f>Таблица19[[#This Row],[Грунт]]+Таблица19[[#This Row],[Щебень]]+Таблица19[[#This Row],[Асфальт]]+Таблица19[[#This Row],[Бетон]]</f>
        <v>2</v>
      </c>
      <c r="F89" s="243">
        <v>2</v>
      </c>
      <c r="G89" s="140"/>
      <c r="H89" s="249"/>
      <c r="I89" s="139"/>
      <c r="J89" s="232"/>
      <c r="N89" s="234" t="b">
        <f>OR(Таблица19[[#This Row],[Щебень]]&gt;0,Таблица19[[#This Row],[Асфальт]]&gt;0,Таблица19[[#This Row],[Бетон]]&gt;0)</f>
        <v>0</v>
      </c>
      <c r="Q89" s="234">
        <v>87</v>
      </c>
      <c r="S89" s="235"/>
      <c r="T89" s="235"/>
    </row>
    <row r="90" spans="1:20" s="234" customFormat="1" x14ac:dyDescent="0.35">
      <c r="A90" s="146">
        <v>88</v>
      </c>
      <c r="B90" s="146" t="s">
        <v>173</v>
      </c>
      <c r="C90" s="146" t="s">
        <v>174</v>
      </c>
      <c r="D90" s="146" t="s">
        <v>571</v>
      </c>
      <c r="E90" s="254">
        <f>Таблица19[[#This Row],[Грунт]]+Таблица19[[#This Row],[Щебень]]+Таблица19[[#This Row],[Асфальт]]+Таблица19[[#This Row],[Бетон]]</f>
        <v>2</v>
      </c>
      <c r="F90" s="243">
        <v>2</v>
      </c>
      <c r="G90" s="140"/>
      <c r="H90" s="249"/>
      <c r="I90" s="139"/>
      <c r="J90" s="232"/>
      <c r="K90" s="234" t="s">
        <v>558</v>
      </c>
      <c r="N90" s="234" t="b">
        <f>OR(Таблица19[[#This Row],[Щебень]]&gt;0,Таблица19[[#This Row],[Асфальт]]&gt;0,Таблица19[[#This Row],[Бетон]]&gt;0)</f>
        <v>0</v>
      </c>
      <c r="Q90" s="234">
        <v>88</v>
      </c>
      <c r="S90" s="235"/>
      <c r="T90" s="235"/>
    </row>
    <row r="91" spans="1:20" s="234" customFormat="1" x14ac:dyDescent="0.35">
      <c r="A91" s="146">
        <v>89</v>
      </c>
      <c r="B91" s="146" t="s">
        <v>175</v>
      </c>
      <c r="C91" s="146" t="s">
        <v>176</v>
      </c>
      <c r="D91" s="146" t="s">
        <v>571</v>
      </c>
      <c r="E91" s="254">
        <f>Таблица19[[#This Row],[Грунт]]+Таблица19[[#This Row],[Щебень]]+Таблица19[[#This Row],[Асфальт]]+Таблица19[[#This Row],[Бетон]]</f>
        <v>1</v>
      </c>
      <c r="F91" s="243">
        <v>1</v>
      </c>
      <c r="G91" s="140"/>
      <c r="H91" s="249"/>
      <c r="I91" s="139"/>
      <c r="J91" s="232"/>
      <c r="N91" s="234" t="b">
        <f>OR(Таблица19[[#This Row],[Щебень]]&gt;0,Таблица19[[#This Row],[Асфальт]]&gt;0,Таблица19[[#This Row],[Бетон]]&gt;0)</f>
        <v>0</v>
      </c>
      <c r="Q91" s="234">
        <v>89</v>
      </c>
      <c r="S91" s="235"/>
      <c r="T91" s="235"/>
    </row>
    <row r="92" spans="1:20" s="234" customFormat="1" x14ac:dyDescent="0.35">
      <c r="A92" s="146">
        <v>90</v>
      </c>
      <c r="B92" s="146" t="s">
        <v>177</v>
      </c>
      <c r="C92" s="146" t="s">
        <v>810</v>
      </c>
      <c r="D92" s="146" t="s">
        <v>571</v>
      </c>
      <c r="E92" s="254">
        <f>Таблица19[[#This Row],[Грунт]]+Таблица19[[#This Row],[Щебень]]+Таблица19[[#This Row],[Асфальт]]+Таблица19[[#This Row],[Бетон]]</f>
        <v>4</v>
      </c>
      <c r="F92" s="243"/>
      <c r="G92" s="140"/>
      <c r="H92" s="249"/>
      <c r="I92" s="139">
        <v>4</v>
      </c>
      <c r="J92" s="232"/>
      <c r="N92" s="234" t="b">
        <f>OR(Таблица19[[#This Row],[Щебень]]&gt;0,Таблица19[[#This Row],[Асфальт]]&gt;0,Таблица19[[#This Row],[Бетон]]&gt;0)</f>
        <v>1</v>
      </c>
      <c r="O92" s="234">
        <v>1</v>
      </c>
      <c r="Q92" s="234">
        <v>90</v>
      </c>
      <c r="S92" s="235"/>
      <c r="T92" s="235"/>
    </row>
    <row r="93" spans="1:20" s="234" customFormat="1" x14ac:dyDescent="0.35">
      <c r="A93" s="146">
        <v>91</v>
      </c>
      <c r="B93" s="146" t="s">
        <v>179</v>
      </c>
      <c r="C93" s="146" t="s">
        <v>180</v>
      </c>
      <c r="D93" s="146" t="s">
        <v>571</v>
      </c>
      <c r="E93" s="254">
        <f>Таблица19[[#This Row],[Грунт]]+Таблица19[[#This Row],[Щебень]]+Таблица19[[#This Row],[Асфальт]]+Таблица19[[#This Row],[Бетон]]</f>
        <v>2</v>
      </c>
      <c r="F93" s="243">
        <v>2</v>
      </c>
      <c r="G93" s="140"/>
      <c r="H93" s="249"/>
      <c r="I93" s="139"/>
      <c r="J93" s="232"/>
      <c r="N93" s="234" t="b">
        <f>OR(Таблица19[[#This Row],[Щебень]]&gt;0,Таблица19[[#This Row],[Асфальт]]&gt;0,Таблица19[[#This Row],[Бетон]]&gt;0)</f>
        <v>0</v>
      </c>
      <c r="Q93" s="234">
        <v>91</v>
      </c>
      <c r="S93" s="235"/>
      <c r="T93" s="235"/>
    </row>
    <row r="94" spans="1:20" s="234" customFormat="1" x14ac:dyDescent="0.35">
      <c r="A94" s="146">
        <v>92</v>
      </c>
      <c r="B94" s="146" t="s">
        <v>181</v>
      </c>
      <c r="C94" s="146" t="s">
        <v>182</v>
      </c>
      <c r="D94" s="146" t="s">
        <v>571</v>
      </c>
      <c r="E94" s="254">
        <f>Таблица19[[#This Row],[Грунт]]+Таблица19[[#This Row],[Щебень]]+Таблица19[[#This Row],[Асфальт]]+Таблица19[[#This Row],[Бетон]]</f>
        <v>2.5</v>
      </c>
      <c r="F94" s="243">
        <v>2.5</v>
      </c>
      <c r="G94" s="140"/>
      <c r="H94" s="249"/>
      <c r="I94" s="139"/>
      <c r="J94" s="232"/>
      <c r="N94" s="234" t="b">
        <f>OR(Таблица19[[#This Row],[Щебень]]&gt;0,Таблица19[[#This Row],[Асфальт]]&gt;0,Таблица19[[#This Row],[Бетон]]&gt;0)</f>
        <v>0</v>
      </c>
      <c r="Q94" s="234">
        <v>92</v>
      </c>
      <c r="S94" s="235"/>
      <c r="T94" s="235"/>
    </row>
    <row r="95" spans="1:20" s="234" customFormat="1" x14ac:dyDescent="0.35">
      <c r="A95" s="146">
        <v>93</v>
      </c>
      <c r="B95" s="146" t="s">
        <v>183</v>
      </c>
      <c r="C95" s="146" t="s">
        <v>184</v>
      </c>
      <c r="D95" s="146" t="s">
        <v>571</v>
      </c>
      <c r="E95" s="254">
        <f>Таблица19[[#This Row],[Грунт]]+Таблица19[[#This Row],[Щебень]]+Таблица19[[#This Row],[Асфальт]]+Таблица19[[#This Row],[Бетон]]</f>
        <v>3</v>
      </c>
      <c r="F95" s="243">
        <v>3</v>
      </c>
      <c r="G95" s="140"/>
      <c r="H95" s="249"/>
      <c r="I95" s="139"/>
      <c r="J95" s="232"/>
      <c r="N95" s="234" t="b">
        <f>OR(Таблица19[[#This Row],[Щебень]]&gt;0,Таблица19[[#This Row],[Асфальт]]&gt;0,Таблица19[[#This Row],[Бетон]]&gt;0)</f>
        <v>0</v>
      </c>
      <c r="Q95" s="234">
        <v>93</v>
      </c>
      <c r="S95" s="235"/>
      <c r="T95" s="235"/>
    </row>
    <row r="96" spans="1:20" s="234" customFormat="1" x14ac:dyDescent="0.35">
      <c r="A96" s="146">
        <v>94</v>
      </c>
      <c r="B96" s="146" t="s">
        <v>185</v>
      </c>
      <c r="C96" s="146" t="s">
        <v>186</v>
      </c>
      <c r="D96" s="146" t="s">
        <v>571</v>
      </c>
      <c r="E96" s="254">
        <f>Таблица19[[#This Row],[Грунт]]+Таблица19[[#This Row],[Щебень]]+Таблица19[[#This Row],[Асфальт]]+Таблица19[[#This Row],[Бетон]]</f>
        <v>3</v>
      </c>
      <c r="F96" s="243">
        <v>3</v>
      </c>
      <c r="G96" s="140"/>
      <c r="H96" s="249"/>
      <c r="I96" s="139"/>
      <c r="J96" s="232"/>
      <c r="N96" s="234" t="b">
        <f>OR(Таблица19[[#This Row],[Щебень]]&gt;0,Таблица19[[#This Row],[Асфальт]]&gt;0,Таблица19[[#This Row],[Бетон]]&gt;0)</f>
        <v>0</v>
      </c>
      <c r="Q96" s="234">
        <v>94</v>
      </c>
      <c r="S96" s="235"/>
      <c r="T96" s="235"/>
    </row>
    <row r="97" spans="1:20" s="234" customFormat="1" x14ac:dyDescent="0.35">
      <c r="A97" s="146">
        <v>95</v>
      </c>
      <c r="B97" s="146" t="s">
        <v>187</v>
      </c>
      <c r="C97" s="146" t="s">
        <v>188</v>
      </c>
      <c r="D97" s="146" t="s">
        <v>571</v>
      </c>
      <c r="E97" s="254">
        <f>Таблица19[[#This Row],[Грунт]]+Таблица19[[#This Row],[Щебень]]+Таблица19[[#This Row],[Асфальт]]+Таблица19[[#This Row],[Бетон]]</f>
        <v>2</v>
      </c>
      <c r="F97" s="243">
        <v>2</v>
      </c>
      <c r="G97" s="140"/>
      <c r="H97" s="249"/>
      <c r="I97" s="139"/>
      <c r="J97" s="232"/>
      <c r="N97" s="234" t="b">
        <f>OR(Таблица19[[#This Row],[Щебень]]&gt;0,Таблица19[[#This Row],[Асфальт]]&gt;0,Таблица19[[#This Row],[Бетон]]&gt;0)</f>
        <v>0</v>
      </c>
      <c r="Q97" s="234">
        <v>95</v>
      </c>
      <c r="S97" s="235"/>
      <c r="T97" s="235"/>
    </row>
    <row r="98" spans="1:20" s="234" customFormat="1" ht="46.5" x14ac:dyDescent="0.35">
      <c r="A98" s="146">
        <v>96</v>
      </c>
      <c r="B98" s="146" t="s">
        <v>189</v>
      </c>
      <c r="C98" s="146" t="s">
        <v>190</v>
      </c>
      <c r="D98" s="146" t="s">
        <v>548</v>
      </c>
      <c r="E98" s="254">
        <f>Таблица19[[#This Row],[Грунт]]+Таблица19[[#This Row],[Щебень]]+Таблица19[[#This Row],[Асфальт]]+Таблица19[[#This Row],[Бетон]]</f>
        <v>2.5</v>
      </c>
      <c r="F98" s="243">
        <v>1.3</v>
      </c>
      <c r="G98" s="140"/>
      <c r="H98" s="249">
        <v>1.2</v>
      </c>
      <c r="I98" s="139">
        <v>0</v>
      </c>
      <c r="J98" s="232"/>
      <c r="K98" s="233" t="s">
        <v>557</v>
      </c>
      <c r="N98" s="234" t="b">
        <f>OR(Таблица19[[#This Row],[Щебень]]&gt;0,Таблица19[[#This Row],[Асфальт]]&gt;0,Таблица19[[#This Row],[Бетон]]&gt;0)</f>
        <v>1</v>
      </c>
      <c r="O98" s="234">
        <v>1</v>
      </c>
      <c r="Q98" s="234">
        <v>96</v>
      </c>
      <c r="S98" s="235"/>
      <c r="T98" s="235"/>
    </row>
    <row r="99" spans="1:20" s="234" customFormat="1" ht="46.5" x14ac:dyDescent="0.35">
      <c r="A99" s="146">
        <v>97</v>
      </c>
      <c r="B99" s="146" t="s">
        <v>191</v>
      </c>
      <c r="C99" s="146" t="s">
        <v>192</v>
      </c>
      <c r="D99" s="146" t="s">
        <v>548</v>
      </c>
      <c r="E99" s="254">
        <f>Таблица19[[#This Row],[Грунт]]+Таблица19[[#This Row],[Щебень]]+Таблица19[[#This Row],[Асфальт]]+Таблица19[[#This Row],[Бетон]]</f>
        <v>1.54</v>
      </c>
      <c r="F99" s="243"/>
      <c r="G99" s="140"/>
      <c r="H99" s="249">
        <v>1.54</v>
      </c>
      <c r="I99" s="139"/>
      <c r="J99" s="232"/>
      <c r="K99" s="233" t="s">
        <v>557</v>
      </c>
      <c r="N99" s="234" t="b">
        <f>OR(Таблица19[[#This Row],[Щебень]]&gt;0,Таблица19[[#This Row],[Асфальт]]&gt;0,Таблица19[[#This Row],[Бетон]]&gt;0)</f>
        <v>1</v>
      </c>
      <c r="O99" s="234">
        <v>1</v>
      </c>
      <c r="Q99" s="234">
        <v>97</v>
      </c>
      <c r="S99" s="235"/>
      <c r="T99" s="235"/>
    </row>
    <row r="100" spans="1:20" s="234" customFormat="1" x14ac:dyDescent="0.35">
      <c r="A100" s="146">
        <v>98</v>
      </c>
      <c r="B100" s="146" t="s">
        <v>193</v>
      </c>
      <c r="C100" s="146" t="s">
        <v>194</v>
      </c>
      <c r="D100" s="146" t="s">
        <v>539</v>
      </c>
      <c r="E100" s="254">
        <f>Таблица19[[#This Row],[Грунт]]+Таблица19[[#This Row],[Щебень]]+Таблица19[[#This Row],[Асфальт]]+Таблица19[[#This Row],[Бетон]]</f>
        <v>3.5</v>
      </c>
      <c r="F100" s="243">
        <v>3.5</v>
      </c>
      <c r="G100" s="140"/>
      <c r="H100" s="249"/>
      <c r="I100" s="139"/>
      <c r="J100" s="232"/>
      <c r="N100" s="234" t="b">
        <f>OR(Таблица19[[#This Row],[Щебень]]&gt;0,Таблица19[[#This Row],[Асфальт]]&gt;0,Таблица19[[#This Row],[Бетон]]&gt;0)</f>
        <v>0</v>
      </c>
      <c r="Q100" s="234">
        <v>98</v>
      </c>
      <c r="S100" s="235"/>
      <c r="T100" s="235"/>
    </row>
    <row r="101" spans="1:20" s="234" customFormat="1" ht="46.5" x14ac:dyDescent="0.35">
      <c r="A101" s="146">
        <v>99</v>
      </c>
      <c r="B101" s="146" t="s">
        <v>195</v>
      </c>
      <c r="C101" s="146" t="s">
        <v>196</v>
      </c>
      <c r="D101" s="146" t="s">
        <v>548</v>
      </c>
      <c r="E101" s="254">
        <f>Таблица19[[#This Row],[Грунт]]+Таблица19[[#This Row],[Щебень]]+Таблица19[[#This Row],[Асфальт]]+Таблица19[[#This Row],[Бетон]]</f>
        <v>2.2000000000000002</v>
      </c>
      <c r="F101" s="243"/>
      <c r="G101" s="140">
        <v>2.2000000000000002</v>
      </c>
      <c r="H101" s="249"/>
      <c r="I101" s="139"/>
      <c r="J101" s="232"/>
      <c r="K101" s="233" t="s">
        <v>557</v>
      </c>
      <c r="N101" s="234" t="b">
        <f>OR(Таблица19[[#This Row],[Щебень]]&gt;0,Таблица19[[#This Row],[Асфальт]]&gt;0,Таблица19[[#This Row],[Бетон]]&gt;0)</f>
        <v>1</v>
      </c>
      <c r="O101" s="234">
        <v>1</v>
      </c>
      <c r="Q101" s="234">
        <v>99</v>
      </c>
      <c r="S101" s="235"/>
      <c r="T101" s="235"/>
    </row>
    <row r="102" spans="1:20" s="234" customFormat="1" ht="46.5" x14ac:dyDescent="0.35">
      <c r="A102" s="146">
        <v>100</v>
      </c>
      <c r="B102" s="146" t="s">
        <v>197</v>
      </c>
      <c r="C102" s="146" t="s">
        <v>198</v>
      </c>
      <c r="D102" s="146" t="s">
        <v>547</v>
      </c>
      <c r="E102" s="254">
        <f>Таблица19[[#This Row],[Грунт]]+Таблица19[[#This Row],[Щебень]]+Таблица19[[#This Row],[Асфальт]]+Таблица19[[#This Row],[Бетон]]</f>
        <v>1.2</v>
      </c>
      <c r="F102" s="243">
        <v>1.2</v>
      </c>
      <c r="G102" s="140"/>
      <c r="H102" s="249"/>
      <c r="I102" s="139"/>
      <c r="J102" s="232"/>
      <c r="N102" s="234" t="b">
        <f>OR(Таблица19[[#This Row],[Щебень]]&gt;0,Таблица19[[#This Row],[Асфальт]]&gt;0,Таблица19[[#This Row],[Бетон]]&gt;0)</f>
        <v>0</v>
      </c>
      <c r="Q102" s="234">
        <v>100</v>
      </c>
      <c r="S102" s="235"/>
      <c r="T102" s="235"/>
    </row>
    <row r="103" spans="1:20" s="234" customFormat="1" x14ac:dyDescent="0.35">
      <c r="A103" s="146">
        <v>101</v>
      </c>
      <c r="B103" s="146" t="s">
        <v>199</v>
      </c>
      <c r="C103" s="146" t="s">
        <v>200</v>
      </c>
      <c r="D103" s="146" t="s">
        <v>539</v>
      </c>
      <c r="E103" s="254">
        <f>Таблица19[[#This Row],[Грунт]]+Таблица19[[#This Row],[Щебень]]+Таблица19[[#This Row],[Асфальт]]+Таблица19[[#This Row],[Бетон]]</f>
        <v>1.8</v>
      </c>
      <c r="F103" s="243">
        <v>1.8</v>
      </c>
      <c r="G103" s="140"/>
      <c r="H103" s="249"/>
      <c r="I103" s="139"/>
      <c r="J103" s="232"/>
      <c r="N103" s="234" t="b">
        <f>OR(Таблица19[[#This Row],[Щебень]]&gt;0,Таблица19[[#This Row],[Асфальт]]&gt;0,Таблица19[[#This Row],[Бетон]]&gt;0)</f>
        <v>0</v>
      </c>
      <c r="Q103" s="234">
        <v>101</v>
      </c>
      <c r="S103" s="235"/>
      <c r="T103" s="235"/>
    </row>
    <row r="104" spans="1:20" s="234" customFormat="1" x14ac:dyDescent="0.35">
      <c r="A104" s="146">
        <v>102</v>
      </c>
      <c r="B104" s="146" t="s">
        <v>201</v>
      </c>
      <c r="C104" s="146" t="s">
        <v>202</v>
      </c>
      <c r="D104" s="146" t="s">
        <v>543</v>
      </c>
      <c r="E104" s="254">
        <f>Таблица19[[#This Row],[Грунт]]+Таблица19[[#This Row],[Щебень]]+Таблица19[[#This Row],[Асфальт]]+Таблица19[[#This Row],[Бетон]]</f>
        <v>1</v>
      </c>
      <c r="F104" s="243"/>
      <c r="G104" s="140">
        <v>1</v>
      </c>
      <c r="H104" s="249"/>
      <c r="I104" s="139"/>
      <c r="J104" s="232"/>
      <c r="N104" s="234" t="b">
        <f>OR(Таблица19[[#This Row],[Щебень]]&gt;0,Таблица19[[#This Row],[Асфальт]]&gt;0,Таблица19[[#This Row],[Бетон]]&gt;0)</f>
        <v>1</v>
      </c>
      <c r="O104" s="234">
        <v>1</v>
      </c>
      <c r="Q104" s="234">
        <v>102</v>
      </c>
      <c r="S104" s="235"/>
      <c r="T104" s="235"/>
    </row>
    <row r="105" spans="1:20" s="234" customFormat="1" ht="46.5" x14ac:dyDescent="0.35">
      <c r="A105" s="146">
        <v>103</v>
      </c>
      <c r="B105" s="146" t="s">
        <v>203</v>
      </c>
      <c r="C105" s="146" t="s">
        <v>534</v>
      </c>
      <c r="D105" s="146" t="s">
        <v>545</v>
      </c>
      <c r="E105" s="255">
        <f>Таблица19[[#This Row],[Грунт]]+Таблица19[[#This Row],[Щебень]]+Таблица19[[#This Row],[Асфальт]]</f>
        <v>3.2</v>
      </c>
      <c r="F105" s="243"/>
      <c r="G105" s="140"/>
      <c r="H105" s="249">
        <v>3.2</v>
      </c>
      <c r="I105" s="139"/>
      <c r="J105" s="232"/>
      <c r="N105" s="234" t="b">
        <f>OR(Таблица19[[#This Row],[Щебень]]&gt;0,Таблица19[[#This Row],[Асфальт]]&gt;0,Таблица19[[#This Row],[Бетон]]&gt;0)</f>
        <v>1</v>
      </c>
      <c r="O105" s="234">
        <v>1</v>
      </c>
      <c r="Q105" s="234">
        <v>103</v>
      </c>
      <c r="S105" s="235"/>
      <c r="T105" s="235"/>
    </row>
    <row r="106" spans="1:20" s="234" customFormat="1" ht="46.5" x14ac:dyDescent="0.35">
      <c r="A106" s="146">
        <v>105</v>
      </c>
      <c r="B106" s="146" t="s">
        <v>784</v>
      </c>
      <c r="C106" s="236" t="s">
        <v>783</v>
      </c>
      <c r="D106" s="237" t="s">
        <v>542</v>
      </c>
      <c r="E106" s="254">
        <f>Таблица19[[#This Row],[Грунт]]+Таблица19[[#This Row],[Щебень]]+Таблица19[[#This Row],[Асфальт]]+Таблица19[[#This Row],[Бетон]]</f>
        <v>1.901</v>
      </c>
      <c r="F106" s="243">
        <v>1.901</v>
      </c>
      <c r="G106" s="140"/>
      <c r="H106" s="249"/>
      <c r="I106" s="139"/>
      <c r="J106" s="232"/>
      <c r="N106" s="238" t="b">
        <f>OR(Таблица19[[#This Row],[Щебень]]&gt;0,Таблица19[[#This Row],[Асфальт]]&gt;0,Таблица19[[#This Row],[Бетон]]&gt;0)</f>
        <v>0</v>
      </c>
      <c r="Q106" s="234">
        <v>104</v>
      </c>
      <c r="R106" s="234" t="s">
        <v>796</v>
      </c>
      <c r="S106" s="235"/>
      <c r="T106" s="235"/>
    </row>
    <row r="107" spans="1:20" s="240" customFormat="1" ht="46.5" x14ac:dyDescent="0.35">
      <c r="A107" s="146">
        <v>106</v>
      </c>
      <c r="B107" s="237" t="s">
        <v>788</v>
      </c>
      <c r="C107" s="237" t="s">
        <v>789</v>
      </c>
      <c r="D107" s="146" t="s">
        <v>548</v>
      </c>
      <c r="E107" s="256">
        <v>0.43</v>
      </c>
      <c r="F107" s="244"/>
      <c r="G107" s="161"/>
      <c r="H107" s="250">
        <v>0.43</v>
      </c>
      <c r="I107" s="160"/>
      <c r="J107" s="239"/>
      <c r="N107" s="241" t="b">
        <f>OR(Таблица19[[#This Row],[Щебень]]&gt;0,Таблица19[[#This Row],[Асфальт]]&gt;0,Таблица19[[#This Row],[Бетон]]&gt;0)</f>
        <v>1</v>
      </c>
      <c r="Q107" s="234">
        <v>105</v>
      </c>
      <c r="R107" s="234">
        <f>SUM(E108:E275)</f>
        <v>258.71499999999986</v>
      </c>
      <c r="S107" s="235"/>
      <c r="T107" s="235"/>
    </row>
    <row r="108" spans="1:20" s="234" customFormat="1" ht="46.5" x14ac:dyDescent="0.35">
      <c r="A108" s="146">
        <v>106</v>
      </c>
      <c r="B108" s="146" t="s">
        <v>205</v>
      </c>
      <c r="C108" s="146" t="s">
        <v>206</v>
      </c>
      <c r="D108" s="146" t="s">
        <v>538</v>
      </c>
      <c r="E108" s="254">
        <f>Таблица19[[#This Row],[Грунт]]+Таблица19[[#This Row],[Щебень]]+Таблица19[[#This Row],[Асфальт]]+Таблица19[[#This Row],[Бетон]]</f>
        <v>4</v>
      </c>
      <c r="F108" s="243"/>
      <c r="G108" s="140"/>
      <c r="H108" s="249">
        <v>4</v>
      </c>
      <c r="I108" s="139"/>
      <c r="J108" s="232"/>
      <c r="K108" s="234" t="s">
        <v>558</v>
      </c>
      <c r="L108" s="234">
        <v>1.45</v>
      </c>
      <c r="N108" s="234" t="b">
        <f>OR(Таблица19[[#This Row],[Щебень]]&gt;0,Таблица19[[#This Row],[Асфальт]]&gt;0,Таблица19[[#This Row],[Бетон]]&gt;0)</f>
        <v>1</v>
      </c>
      <c r="O108" s="234">
        <v>1</v>
      </c>
      <c r="Q108" s="234">
        <v>106</v>
      </c>
      <c r="S108" s="235"/>
      <c r="T108" s="235"/>
    </row>
    <row r="109" spans="1:20" s="234" customFormat="1" ht="46.5" x14ac:dyDescent="0.35">
      <c r="A109" s="146">
        <v>107</v>
      </c>
      <c r="B109" s="146" t="s">
        <v>207</v>
      </c>
      <c r="C109" s="146" t="s">
        <v>208</v>
      </c>
      <c r="D109" s="146" t="s">
        <v>538</v>
      </c>
      <c r="E109" s="254">
        <f>Таблица19[[#This Row],[Грунт]]+Таблица19[[#This Row],[Щебень]]+Таблица19[[#This Row],[Асфальт]]+Таблица19[[#This Row],[Бетон]]</f>
        <v>4</v>
      </c>
      <c r="F109" s="243">
        <v>4</v>
      </c>
      <c r="G109" s="140"/>
      <c r="H109" s="249"/>
      <c r="I109" s="139"/>
      <c r="J109" s="232"/>
      <c r="N109" s="234" t="b">
        <f>OR(Таблица19[[#This Row],[Щебень]]&gt;0,Таблица19[[#This Row],[Асфальт]]&gt;0,Таблица19[[#This Row],[Бетон]]&gt;0)</f>
        <v>0</v>
      </c>
      <c r="Q109" s="234">
        <v>107</v>
      </c>
      <c r="S109" s="235"/>
      <c r="T109" s="235"/>
    </row>
    <row r="110" spans="1:20" s="234" customFormat="1" ht="46.5" x14ac:dyDescent="0.35">
      <c r="A110" s="146">
        <v>108</v>
      </c>
      <c r="B110" s="146" t="s">
        <v>209</v>
      </c>
      <c r="C110" s="146" t="s">
        <v>210</v>
      </c>
      <c r="D110" s="146" t="s">
        <v>538</v>
      </c>
      <c r="E110" s="254">
        <f>Таблица19[[#This Row],[Грунт]]+Таблица19[[#This Row],[Щебень]]+Таблица19[[#This Row],[Асфальт]]+Таблица19[[#This Row],[Бетон]]</f>
        <v>3.7</v>
      </c>
      <c r="F110" s="243">
        <v>3.7</v>
      </c>
      <c r="G110" s="140"/>
      <c r="H110" s="249"/>
      <c r="I110" s="139"/>
      <c r="J110" s="232"/>
      <c r="N110" s="234" t="b">
        <f>OR(Таблица19[[#This Row],[Щебень]]&gt;0,Таблица19[[#This Row],[Асфальт]]&gt;0,Таблица19[[#This Row],[Бетон]]&gt;0)</f>
        <v>0</v>
      </c>
      <c r="Q110" s="234">
        <v>108</v>
      </c>
      <c r="S110" s="235"/>
      <c r="T110" s="235"/>
    </row>
    <row r="111" spans="1:20" s="234" customFormat="1" ht="46.5" x14ac:dyDescent="0.35">
      <c r="A111" s="146">
        <v>109</v>
      </c>
      <c r="B111" s="146" t="s">
        <v>211</v>
      </c>
      <c r="C111" s="146" t="s">
        <v>212</v>
      </c>
      <c r="D111" s="146" t="s">
        <v>538</v>
      </c>
      <c r="E111" s="254">
        <f>Таблица19[[#This Row],[Грунт]]+Таблица19[[#This Row],[Щебень]]+Таблица19[[#This Row],[Асфальт]]+Таблица19[[#This Row],[Бетон]]</f>
        <v>2.5</v>
      </c>
      <c r="F111" s="243">
        <v>1</v>
      </c>
      <c r="G111" s="140"/>
      <c r="H111" s="249">
        <v>1.5</v>
      </c>
      <c r="I111" s="139"/>
      <c r="J111" s="232"/>
      <c r="N111" s="234" t="b">
        <f>OR(Таблица19[[#This Row],[Щебень]]&gt;0,Таблица19[[#This Row],[Асфальт]]&gt;0,Таблица19[[#This Row],[Бетон]]&gt;0)</f>
        <v>1</v>
      </c>
      <c r="O111" s="234">
        <v>1</v>
      </c>
      <c r="Q111" s="234">
        <v>109</v>
      </c>
      <c r="S111" s="235"/>
      <c r="T111" s="235"/>
    </row>
    <row r="112" spans="1:20" s="234" customFormat="1" ht="46.5" x14ac:dyDescent="0.35">
      <c r="A112" s="146">
        <v>110</v>
      </c>
      <c r="B112" s="146" t="s">
        <v>213</v>
      </c>
      <c r="C112" s="146" t="s">
        <v>214</v>
      </c>
      <c r="D112" s="146" t="s">
        <v>538</v>
      </c>
      <c r="E112" s="254">
        <f>Таблица19[[#This Row],[Грунт]]+Таблица19[[#This Row],[Щебень]]+Таблица19[[#This Row],[Асфальт]]+Таблица19[[#This Row],[Бетон]]</f>
        <v>1.3</v>
      </c>
      <c r="F112" s="243">
        <v>1.3</v>
      </c>
      <c r="G112" s="140"/>
      <c r="H112" s="249"/>
      <c r="I112" s="139"/>
      <c r="J112" s="232"/>
      <c r="N112" s="234" t="b">
        <f>OR(Таблица19[[#This Row],[Щебень]]&gt;0,Таблица19[[#This Row],[Асфальт]]&gt;0,Таблица19[[#This Row],[Бетон]]&gt;0)</f>
        <v>0</v>
      </c>
      <c r="Q112" s="234">
        <v>110</v>
      </c>
      <c r="S112" s="235"/>
      <c r="T112" s="235"/>
    </row>
    <row r="113" spans="1:20" s="234" customFormat="1" ht="46.5" x14ac:dyDescent="0.35">
      <c r="A113" s="146">
        <v>111</v>
      </c>
      <c r="B113" s="146" t="s">
        <v>215</v>
      </c>
      <c r="C113" s="146" t="s">
        <v>216</v>
      </c>
      <c r="D113" s="146" t="s">
        <v>538</v>
      </c>
      <c r="E113" s="254">
        <f>Таблица19[[#This Row],[Грунт]]+Таблица19[[#This Row],[Щебень]]+Таблица19[[#This Row],[Асфальт]]+Таблица19[[#This Row],[Бетон]]</f>
        <v>3.5</v>
      </c>
      <c r="F113" s="243">
        <v>2.8</v>
      </c>
      <c r="G113" s="140"/>
      <c r="H113" s="249">
        <v>0.7</v>
      </c>
      <c r="I113" s="139"/>
      <c r="J113" s="232"/>
      <c r="N113" s="234" t="b">
        <f>OR(Таблица19[[#This Row],[Щебень]]&gt;0,Таблица19[[#This Row],[Асфальт]]&gt;0,Таблица19[[#This Row],[Бетон]]&gt;0)</f>
        <v>1</v>
      </c>
      <c r="O113" s="234">
        <v>1</v>
      </c>
      <c r="Q113" s="234">
        <v>111</v>
      </c>
      <c r="S113" s="235"/>
      <c r="T113" s="235"/>
    </row>
    <row r="114" spans="1:20" s="234" customFormat="1" ht="46.5" x14ac:dyDescent="0.35">
      <c r="A114" s="146">
        <v>112</v>
      </c>
      <c r="B114" s="146" t="s">
        <v>217</v>
      </c>
      <c r="C114" s="146" t="s">
        <v>218</v>
      </c>
      <c r="D114" s="146" t="s">
        <v>538</v>
      </c>
      <c r="E114" s="254">
        <f>Таблица19[[#This Row],[Грунт]]+Таблица19[[#This Row],[Щебень]]+Таблица19[[#This Row],[Асфальт]]+Таблица19[[#This Row],[Бетон]]</f>
        <v>1.8</v>
      </c>
      <c r="F114" s="243">
        <v>1.8</v>
      </c>
      <c r="G114" s="140"/>
      <c r="H114" s="249"/>
      <c r="I114" s="139"/>
      <c r="J114" s="232"/>
      <c r="K114" s="234" t="s">
        <v>558</v>
      </c>
      <c r="N114" s="234" t="b">
        <f>OR(Таблица19[[#This Row],[Щебень]]&gt;0,Таблица19[[#This Row],[Асфальт]]&gt;0,Таблица19[[#This Row],[Бетон]]&gt;0)</f>
        <v>0</v>
      </c>
      <c r="Q114" s="234">
        <v>112</v>
      </c>
      <c r="S114" s="235"/>
      <c r="T114" s="235"/>
    </row>
    <row r="115" spans="1:20" s="234" customFormat="1" ht="46.5" x14ac:dyDescent="0.35">
      <c r="A115" s="146">
        <v>113</v>
      </c>
      <c r="B115" s="146" t="s">
        <v>219</v>
      </c>
      <c r="C115" s="146" t="s">
        <v>220</v>
      </c>
      <c r="D115" s="146" t="s">
        <v>538</v>
      </c>
      <c r="E115" s="254">
        <f>Таблица19[[#This Row],[Грунт]]+Таблица19[[#This Row],[Щебень]]+Таблица19[[#This Row],[Асфальт]]+Таблица19[[#This Row],[Бетон]]</f>
        <v>0.7</v>
      </c>
      <c r="F115" s="243">
        <v>0.7</v>
      </c>
      <c r="G115" s="140"/>
      <c r="H115" s="249"/>
      <c r="I115" s="139"/>
      <c r="J115" s="232"/>
      <c r="N115" s="234" t="b">
        <f>OR(Таблица19[[#This Row],[Щебень]]&gt;0,Таблица19[[#This Row],[Асфальт]]&gt;0,Таблица19[[#This Row],[Бетон]]&gt;0)</f>
        <v>0</v>
      </c>
      <c r="Q115" s="234">
        <v>113</v>
      </c>
      <c r="S115" s="235"/>
      <c r="T115" s="235"/>
    </row>
    <row r="116" spans="1:20" s="234" customFormat="1" ht="46.5" x14ac:dyDescent="0.35">
      <c r="A116" s="146">
        <v>114</v>
      </c>
      <c r="B116" s="146" t="s">
        <v>221</v>
      </c>
      <c r="C116" s="146" t="s">
        <v>222</v>
      </c>
      <c r="D116" s="146" t="s">
        <v>538</v>
      </c>
      <c r="E116" s="254">
        <f>Таблица19[[#This Row],[Грунт]]+Таблица19[[#This Row],[Щебень]]+Таблица19[[#This Row],[Асфальт]]+Таблица19[[#This Row],[Бетон]]</f>
        <v>1.5</v>
      </c>
      <c r="F116" s="243">
        <v>1.5</v>
      </c>
      <c r="G116" s="140"/>
      <c r="H116" s="249"/>
      <c r="I116" s="139"/>
      <c r="J116" s="232"/>
      <c r="K116" s="234" t="s">
        <v>558</v>
      </c>
      <c r="N116" s="234" t="b">
        <f>OR(Таблица19[[#This Row],[Щебень]]&gt;0,Таблица19[[#This Row],[Асфальт]]&gt;0,Таблица19[[#This Row],[Бетон]]&gt;0)</f>
        <v>0</v>
      </c>
      <c r="Q116" s="234">
        <v>114</v>
      </c>
      <c r="S116" s="235"/>
      <c r="T116" s="235"/>
    </row>
    <row r="117" spans="1:20" s="234" customFormat="1" ht="46.5" x14ac:dyDescent="0.35">
      <c r="A117" s="146">
        <v>115</v>
      </c>
      <c r="B117" s="146" t="s">
        <v>223</v>
      </c>
      <c r="C117" s="146" t="s">
        <v>224</v>
      </c>
      <c r="D117" s="146" t="s">
        <v>538</v>
      </c>
      <c r="E117" s="254">
        <f>Таблица19[[#This Row],[Грунт]]+Таблица19[[#This Row],[Щебень]]+Таблица19[[#This Row],[Асфальт]]+Таблица19[[#This Row],[Бетон]]</f>
        <v>1</v>
      </c>
      <c r="F117" s="243">
        <v>1</v>
      </c>
      <c r="G117" s="140"/>
      <c r="H117" s="249"/>
      <c r="I117" s="139"/>
      <c r="J117" s="232"/>
      <c r="N117" s="234" t="b">
        <f>OR(Таблица19[[#This Row],[Щебень]]&gt;0,Таблица19[[#This Row],[Асфальт]]&gt;0,Таблица19[[#This Row],[Бетон]]&gt;0)</f>
        <v>0</v>
      </c>
      <c r="Q117" s="234">
        <v>115</v>
      </c>
      <c r="S117" s="235"/>
      <c r="T117" s="235"/>
    </row>
    <row r="118" spans="1:20" s="234" customFormat="1" ht="46.5" x14ac:dyDescent="0.35">
      <c r="A118" s="146">
        <v>116</v>
      </c>
      <c r="B118" s="146" t="s">
        <v>225</v>
      </c>
      <c r="C118" s="146" t="s">
        <v>226</v>
      </c>
      <c r="D118" s="146" t="s">
        <v>537</v>
      </c>
      <c r="E118" s="254">
        <f>Таблица19[[#This Row],[Грунт]]+Таблица19[[#This Row],[Щебень]]+Таблица19[[#This Row],[Асфальт]]+Таблица19[[#This Row],[Бетон]]</f>
        <v>5</v>
      </c>
      <c r="F118" s="243">
        <v>3</v>
      </c>
      <c r="G118" s="140">
        <v>1.5</v>
      </c>
      <c r="H118" s="249"/>
      <c r="I118" s="139">
        <v>0.5</v>
      </c>
      <c r="J118" s="232"/>
      <c r="N118" s="234" t="b">
        <f>OR(Таблица19[[#This Row],[Щебень]]&gt;0,Таблица19[[#This Row],[Асфальт]]&gt;0,Таблица19[[#This Row],[Бетон]]&gt;0)</f>
        <v>1</v>
      </c>
      <c r="O118" s="234">
        <v>1</v>
      </c>
      <c r="Q118" s="234">
        <v>116</v>
      </c>
      <c r="S118" s="235"/>
      <c r="T118" s="235"/>
    </row>
    <row r="119" spans="1:20" s="234" customFormat="1" ht="46.5" x14ac:dyDescent="0.35">
      <c r="A119" s="146">
        <v>117</v>
      </c>
      <c r="B119" s="146" t="s">
        <v>227</v>
      </c>
      <c r="C119" s="146" t="s">
        <v>228</v>
      </c>
      <c r="D119" s="146" t="s">
        <v>537</v>
      </c>
      <c r="E119" s="254">
        <f>Таблица19[[#This Row],[Грунт]]+Таблица19[[#This Row],[Щебень]]+Таблица19[[#This Row],[Асфальт]]+Таблица19[[#This Row],[Бетон]]</f>
        <v>1</v>
      </c>
      <c r="F119" s="243">
        <v>1</v>
      </c>
      <c r="G119" s="140"/>
      <c r="H119" s="249"/>
      <c r="I119" s="139"/>
      <c r="J119" s="232"/>
      <c r="N119" s="234" t="b">
        <f>OR(Таблица19[[#This Row],[Щебень]]&gt;0,Таблица19[[#This Row],[Асфальт]]&gt;0,Таблица19[[#This Row],[Бетон]]&gt;0)</f>
        <v>0</v>
      </c>
      <c r="Q119" s="234">
        <v>117</v>
      </c>
      <c r="S119" s="235"/>
      <c r="T119" s="235"/>
    </row>
    <row r="120" spans="1:20" s="234" customFormat="1" ht="46.5" x14ac:dyDescent="0.35">
      <c r="A120" s="146">
        <v>118</v>
      </c>
      <c r="B120" s="146" t="s">
        <v>229</v>
      </c>
      <c r="C120" s="146" t="s">
        <v>230</v>
      </c>
      <c r="D120" s="146" t="s">
        <v>537</v>
      </c>
      <c r="E120" s="254">
        <f>Таблица19[[#This Row],[Грунт]]+Таблица19[[#This Row],[Щебень]]+Таблица19[[#This Row],[Асфальт]]+Таблица19[[#This Row],[Бетон]]</f>
        <v>1.1000000000000001</v>
      </c>
      <c r="F120" s="243">
        <v>1.1000000000000001</v>
      </c>
      <c r="G120" s="140"/>
      <c r="H120" s="249"/>
      <c r="I120" s="139"/>
      <c r="J120" s="232"/>
      <c r="N120" s="234" t="b">
        <f>OR(Таблица19[[#This Row],[Щебень]]&gt;0,Таблица19[[#This Row],[Асфальт]]&gt;0,Таблица19[[#This Row],[Бетон]]&gt;0)</f>
        <v>0</v>
      </c>
      <c r="Q120" s="234">
        <v>118</v>
      </c>
      <c r="S120" s="235"/>
      <c r="T120" s="235"/>
    </row>
    <row r="121" spans="1:20" s="234" customFormat="1" ht="46.5" x14ac:dyDescent="0.35">
      <c r="A121" s="146">
        <v>119</v>
      </c>
      <c r="B121" s="146" t="s">
        <v>231</v>
      </c>
      <c r="C121" s="146" t="s">
        <v>232</v>
      </c>
      <c r="D121" s="146" t="s">
        <v>539</v>
      </c>
      <c r="E121" s="254">
        <f>Таблица19[[#This Row],[Грунт]]+Таблица19[[#This Row],[Щебень]]+Таблица19[[#This Row],[Асфальт]]+Таблица19[[#This Row],[Бетон]]</f>
        <v>1.5</v>
      </c>
      <c r="F121" s="243">
        <v>1</v>
      </c>
      <c r="G121" s="140">
        <v>0.5</v>
      </c>
      <c r="H121" s="249"/>
      <c r="I121" s="139"/>
      <c r="J121" s="232"/>
      <c r="N121" s="234" t="b">
        <f>OR(Таблица19[[#This Row],[Щебень]]&gt;0,Таблица19[[#This Row],[Асфальт]]&gt;0,Таблица19[[#This Row],[Бетон]]&gt;0)</f>
        <v>1</v>
      </c>
      <c r="O121" s="234">
        <v>1</v>
      </c>
      <c r="Q121" s="234">
        <v>119</v>
      </c>
      <c r="S121" s="235"/>
      <c r="T121" s="235"/>
    </row>
    <row r="122" spans="1:20" s="234" customFormat="1" ht="46.5" x14ac:dyDescent="0.35">
      <c r="A122" s="146">
        <v>120</v>
      </c>
      <c r="B122" s="146" t="s">
        <v>233</v>
      </c>
      <c r="C122" s="146" t="s">
        <v>234</v>
      </c>
      <c r="D122" s="146" t="s">
        <v>539</v>
      </c>
      <c r="E122" s="254">
        <f>Таблица19[[#This Row],[Грунт]]+Таблица19[[#This Row],[Щебень]]+Таблица19[[#This Row],[Асфальт]]+Таблица19[[#This Row],[Бетон]]</f>
        <v>3.0859999999999999</v>
      </c>
      <c r="F122" s="243"/>
      <c r="G122" s="247"/>
      <c r="H122" s="251">
        <v>3.0859999999999999</v>
      </c>
      <c r="I122" s="139"/>
      <c r="J122" s="232"/>
      <c r="K122" s="233" t="s">
        <v>557</v>
      </c>
      <c r="N122" s="234" t="b">
        <f>OR(Таблица19[[#This Row],[Щебень]]&gt;0,Таблица19[[#This Row],[Асфальт]]&gt;0,Таблица19[[#This Row],[Бетон]]&gt;0)</f>
        <v>1</v>
      </c>
      <c r="O122" s="234">
        <v>1</v>
      </c>
      <c r="Q122" s="234">
        <v>120</v>
      </c>
      <c r="S122" s="235"/>
      <c r="T122" s="235"/>
    </row>
    <row r="123" spans="1:20" s="234" customFormat="1" ht="46.5" x14ac:dyDescent="0.35">
      <c r="A123" s="146">
        <v>121</v>
      </c>
      <c r="B123" s="146" t="s">
        <v>235</v>
      </c>
      <c r="C123" s="146" t="s">
        <v>236</v>
      </c>
      <c r="D123" s="146" t="s">
        <v>539</v>
      </c>
      <c r="E123" s="254">
        <f>Таблица19[[#This Row],[Грунт]]+Таблица19[[#This Row],[Щебень]]+Таблица19[[#This Row],[Асфальт]]+Таблица19[[#This Row],[Бетон]]</f>
        <v>0.5</v>
      </c>
      <c r="F123" s="243">
        <v>0.5</v>
      </c>
      <c r="G123" s="140"/>
      <c r="H123" s="249"/>
      <c r="I123" s="139"/>
      <c r="J123" s="232"/>
      <c r="N123" s="234" t="b">
        <f>OR(Таблица19[[#This Row],[Щебень]]&gt;0,Таблица19[[#This Row],[Асфальт]]&gt;0,Таблица19[[#This Row],[Бетон]]&gt;0)</f>
        <v>0</v>
      </c>
      <c r="Q123" s="234">
        <v>121</v>
      </c>
      <c r="S123" s="235"/>
      <c r="T123" s="235"/>
    </row>
    <row r="124" spans="1:20" s="234" customFormat="1" ht="46.5" x14ac:dyDescent="0.35">
      <c r="A124" s="146">
        <v>122</v>
      </c>
      <c r="B124" s="146" t="s">
        <v>237</v>
      </c>
      <c r="C124" s="146" t="s">
        <v>238</v>
      </c>
      <c r="D124" s="146" t="s">
        <v>539</v>
      </c>
      <c r="E124" s="254">
        <f>Таблица19[[#This Row],[Грунт]]+Таблица19[[#This Row],[Щебень]]+Таблица19[[#This Row],[Асфальт]]+Таблица19[[#This Row],[Бетон]]</f>
        <v>1</v>
      </c>
      <c r="F124" s="243">
        <v>1</v>
      </c>
      <c r="G124" s="140"/>
      <c r="H124" s="249"/>
      <c r="I124" s="139"/>
      <c r="J124" s="232"/>
      <c r="N124" s="234" t="b">
        <f>OR(Таблица19[[#This Row],[Щебень]]&gt;0,Таблица19[[#This Row],[Асфальт]]&gt;0,Таблица19[[#This Row],[Бетон]]&gt;0)</f>
        <v>0</v>
      </c>
      <c r="Q124" s="234">
        <v>122</v>
      </c>
      <c r="S124" s="235"/>
      <c r="T124" s="235"/>
    </row>
    <row r="125" spans="1:20" s="234" customFormat="1" ht="46.5" x14ac:dyDescent="0.35">
      <c r="A125" s="146">
        <v>123</v>
      </c>
      <c r="B125" s="146" t="s">
        <v>239</v>
      </c>
      <c r="C125" s="146" t="s">
        <v>240</v>
      </c>
      <c r="D125" s="146" t="s">
        <v>539</v>
      </c>
      <c r="E125" s="254">
        <f>Таблица19[[#This Row],[Грунт]]+Таблица19[[#This Row],[Щебень]]+Таблица19[[#This Row],[Асфальт]]+Таблица19[[#This Row],[Бетон]]</f>
        <v>1</v>
      </c>
      <c r="F125" s="243">
        <v>1</v>
      </c>
      <c r="G125" s="140"/>
      <c r="H125" s="249"/>
      <c r="I125" s="139"/>
      <c r="J125" s="232"/>
      <c r="N125" s="234" t="b">
        <f>OR(Таблица19[[#This Row],[Щебень]]&gt;0,Таблица19[[#This Row],[Асфальт]]&gt;0,Таблица19[[#This Row],[Бетон]]&gt;0)</f>
        <v>0</v>
      </c>
      <c r="Q125" s="234">
        <v>123</v>
      </c>
      <c r="S125" s="235"/>
      <c r="T125" s="235"/>
    </row>
    <row r="126" spans="1:20" s="234" customFormat="1" ht="46.5" x14ac:dyDescent="0.35">
      <c r="A126" s="146">
        <v>124</v>
      </c>
      <c r="B126" s="146" t="s">
        <v>241</v>
      </c>
      <c r="C126" s="146" t="s">
        <v>242</v>
      </c>
      <c r="D126" s="146" t="s">
        <v>539</v>
      </c>
      <c r="E126" s="254">
        <f>Таблица19[[#This Row],[Грунт]]+Таблица19[[#This Row],[Щебень]]+Таблица19[[#This Row],[Асфальт]]+Таблица19[[#This Row],[Бетон]]</f>
        <v>0.8</v>
      </c>
      <c r="F126" s="243">
        <v>0.8</v>
      </c>
      <c r="G126" s="140"/>
      <c r="H126" s="249"/>
      <c r="I126" s="139"/>
      <c r="J126" s="232"/>
      <c r="N126" s="234" t="b">
        <f>OR(Таблица19[[#This Row],[Щебень]]&gt;0,Таблица19[[#This Row],[Асфальт]]&gt;0,Таблица19[[#This Row],[Бетон]]&gt;0)</f>
        <v>0</v>
      </c>
      <c r="Q126" s="234">
        <v>124</v>
      </c>
      <c r="S126" s="235"/>
      <c r="T126" s="235"/>
    </row>
    <row r="127" spans="1:20" s="234" customFormat="1" ht="46.5" x14ac:dyDescent="0.35">
      <c r="A127" s="146">
        <v>125</v>
      </c>
      <c r="B127" s="146" t="s">
        <v>243</v>
      </c>
      <c r="C127" s="146" t="s">
        <v>244</v>
      </c>
      <c r="D127" s="146" t="s">
        <v>539</v>
      </c>
      <c r="E127" s="254">
        <f>Таблица19[[#This Row],[Грунт]]+Таблица19[[#This Row],[Щебень]]+Таблица19[[#This Row],[Асфальт]]+Таблица19[[#This Row],[Бетон]]</f>
        <v>1</v>
      </c>
      <c r="F127" s="243">
        <v>0.2</v>
      </c>
      <c r="G127" s="140">
        <v>0.8</v>
      </c>
      <c r="H127" s="249"/>
      <c r="I127" s="139"/>
      <c r="J127" s="232"/>
      <c r="N127" s="234" t="b">
        <f>OR(Таблица19[[#This Row],[Щебень]]&gt;0,Таблица19[[#This Row],[Асфальт]]&gt;0,Таблица19[[#This Row],[Бетон]]&gt;0)</f>
        <v>1</v>
      </c>
      <c r="O127" s="234">
        <v>1</v>
      </c>
      <c r="Q127" s="234">
        <v>125</v>
      </c>
      <c r="S127" s="235"/>
      <c r="T127" s="235"/>
    </row>
    <row r="128" spans="1:20" s="234" customFormat="1" ht="46.5" x14ac:dyDescent="0.35">
      <c r="A128" s="146">
        <v>126</v>
      </c>
      <c r="B128" s="146" t="s">
        <v>245</v>
      </c>
      <c r="C128" s="146" t="s">
        <v>246</v>
      </c>
      <c r="D128" s="146" t="s">
        <v>539</v>
      </c>
      <c r="E128" s="254">
        <f>Таблица19[[#This Row],[Грунт]]+Таблица19[[#This Row],[Щебень]]+Таблица19[[#This Row],[Асфальт]]+Таблица19[[#This Row],[Бетон]]</f>
        <v>1.5</v>
      </c>
      <c r="F128" s="243">
        <v>1</v>
      </c>
      <c r="G128" s="140"/>
      <c r="H128" s="249">
        <v>0.5</v>
      </c>
      <c r="I128" s="139"/>
      <c r="J128" s="232"/>
      <c r="N128" s="234" t="b">
        <f>OR(Таблица19[[#This Row],[Щебень]]&gt;0,Таблица19[[#This Row],[Асфальт]]&gt;0,Таблица19[[#This Row],[Бетон]]&gt;0)</f>
        <v>1</v>
      </c>
      <c r="O128" s="234">
        <v>1</v>
      </c>
      <c r="Q128" s="234">
        <v>126</v>
      </c>
      <c r="S128" s="235"/>
      <c r="T128" s="235"/>
    </row>
    <row r="129" spans="1:20" s="234" customFormat="1" ht="46.5" x14ac:dyDescent="0.35">
      <c r="A129" s="146">
        <v>127</v>
      </c>
      <c r="B129" s="146" t="s">
        <v>247</v>
      </c>
      <c r="C129" s="146" t="s">
        <v>248</v>
      </c>
      <c r="D129" s="146" t="s">
        <v>539</v>
      </c>
      <c r="E129" s="254">
        <f>Таблица19[[#This Row],[Грунт]]+Таблица19[[#This Row],[Щебень]]+Таблица19[[#This Row],[Асфальт]]+Таблица19[[#This Row],[Бетон]]</f>
        <v>0.8</v>
      </c>
      <c r="F129" s="243">
        <v>0.8</v>
      </c>
      <c r="G129" s="140"/>
      <c r="H129" s="249"/>
      <c r="I129" s="139"/>
      <c r="J129" s="232"/>
      <c r="N129" s="234" t="b">
        <f>OR(Таблица19[[#This Row],[Щебень]]&gt;0,Таблица19[[#This Row],[Асфальт]]&gt;0,Таблица19[[#This Row],[Бетон]]&gt;0)</f>
        <v>0</v>
      </c>
      <c r="Q129" s="234">
        <v>127</v>
      </c>
      <c r="S129" s="235"/>
      <c r="T129" s="235"/>
    </row>
    <row r="130" spans="1:20" s="234" customFormat="1" ht="46.5" x14ac:dyDescent="0.35">
      <c r="A130" s="146">
        <v>128</v>
      </c>
      <c r="B130" s="146" t="s">
        <v>249</v>
      </c>
      <c r="C130" s="146" t="s">
        <v>250</v>
      </c>
      <c r="D130" s="146" t="s">
        <v>539</v>
      </c>
      <c r="E130" s="254">
        <f>Таблица19[[#This Row],[Грунт]]+Таблица19[[#This Row],[Щебень]]+Таблица19[[#This Row],[Асфальт]]+Таблица19[[#This Row],[Бетон]]</f>
        <v>1</v>
      </c>
      <c r="F130" s="243">
        <v>0.7</v>
      </c>
      <c r="G130" s="140">
        <v>0.3</v>
      </c>
      <c r="H130" s="249"/>
      <c r="I130" s="139"/>
      <c r="J130" s="232"/>
      <c r="N130" s="234" t="b">
        <f>OR(Таблица19[[#This Row],[Щебень]]&gt;0,Таблица19[[#This Row],[Асфальт]]&gt;0,Таблица19[[#This Row],[Бетон]]&gt;0)</f>
        <v>1</v>
      </c>
      <c r="O130" s="234">
        <v>1</v>
      </c>
      <c r="Q130" s="234">
        <v>128</v>
      </c>
      <c r="S130" s="235"/>
      <c r="T130" s="235"/>
    </row>
    <row r="131" spans="1:20" s="234" customFormat="1" ht="46.5" x14ac:dyDescent="0.35">
      <c r="A131" s="146">
        <v>129</v>
      </c>
      <c r="B131" s="146" t="s">
        <v>251</v>
      </c>
      <c r="C131" s="146" t="s">
        <v>252</v>
      </c>
      <c r="D131" s="146" t="s">
        <v>539</v>
      </c>
      <c r="E131" s="254">
        <f>Таблица19[[#This Row],[Грунт]]+Таблица19[[#This Row],[Щебень]]+Таблица19[[#This Row],[Асфальт]]+Таблица19[[#This Row],[Бетон]]</f>
        <v>0.8</v>
      </c>
      <c r="F131" s="243">
        <v>0.8</v>
      </c>
      <c r="G131" s="140"/>
      <c r="H131" s="249"/>
      <c r="I131" s="139"/>
      <c r="J131" s="232"/>
      <c r="N131" s="234" t="b">
        <f>OR(Таблица19[[#This Row],[Щебень]]&gt;0,Таблица19[[#This Row],[Асфальт]]&gt;0,Таблица19[[#This Row],[Бетон]]&gt;0)</f>
        <v>0</v>
      </c>
      <c r="Q131" s="234">
        <v>129</v>
      </c>
      <c r="S131" s="235"/>
      <c r="T131" s="235"/>
    </row>
    <row r="132" spans="1:20" s="234" customFormat="1" ht="46.5" x14ac:dyDescent="0.35">
      <c r="A132" s="146">
        <v>130</v>
      </c>
      <c r="B132" s="146" t="s">
        <v>253</v>
      </c>
      <c r="C132" s="146" t="s">
        <v>254</v>
      </c>
      <c r="D132" s="146" t="s">
        <v>539</v>
      </c>
      <c r="E132" s="254">
        <f>Таблица19[[#This Row],[Грунт]]+Таблица19[[#This Row],[Щебень]]+Таблица19[[#This Row],[Асфальт]]+Таблица19[[#This Row],[Бетон]]</f>
        <v>1.5</v>
      </c>
      <c r="F132" s="243">
        <v>1.5</v>
      </c>
      <c r="G132" s="140"/>
      <c r="H132" s="249"/>
      <c r="I132" s="139"/>
      <c r="J132" s="232"/>
      <c r="N132" s="234" t="b">
        <f>OR(Таблица19[[#This Row],[Щебень]]&gt;0,Таблица19[[#This Row],[Асфальт]]&gt;0,Таблица19[[#This Row],[Бетон]]&gt;0)</f>
        <v>0</v>
      </c>
      <c r="Q132" s="234">
        <v>130</v>
      </c>
      <c r="S132" s="235"/>
      <c r="T132" s="235"/>
    </row>
    <row r="133" spans="1:20" s="234" customFormat="1" ht="46.5" x14ac:dyDescent="0.35">
      <c r="A133" s="146">
        <v>131</v>
      </c>
      <c r="B133" s="146" t="s">
        <v>255</v>
      </c>
      <c r="C133" s="146" t="s">
        <v>256</v>
      </c>
      <c r="D133" s="146" t="s">
        <v>539</v>
      </c>
      <c r="E133" s="254">
        <f>Таблица19[[#This Row],[Грунт]]+Таблица19[[#This Row],[Щебень]]+Таблица19[[#This Row],[Асфальт]]+Таблица19[[#This Row],[Бетон]]</f>
        <v>0.8</v>
      </c>
      <c r="F133" s="243">
        <v>0.8</v>
      </c>
      <c r="G133" s="140"/>
      <c r="H133" s="249"/>
      <c r="I133" s="139"/>
      <c r="J133" s="232"/>
      <c r="N133" s="234" t="b">
        <f>OR(Таблица19[[#This Row],[Щебень]]&gt;0,Таблица19[[#This Row],[Асфальт]]&gt;0,Таблица19[[#This Row],[Бетон]]&gt;0)</f>
        <v>0</v>
      </c>
      <c r="Q133" s="234">
        <v>131</v>
      </c>
      <c r="S133" s="235"/>
      <c r="T133" s="235"/>
    </row>
    <row r="134" spans="1:20" s="234" customFormat="1" ht="46.5" x14ac:dyDescent="0.35">
      <c r="A134" s="146">
        <v>132</v>
      </c>
      <c r="B134" s="146" t="s">
        <v>257</v>
      </c>
      <c r="C134" s="146" t="s">
        <v>258</v>
      </c>
      <c r="D134" s="146" t="s">
        <v>539</v>
      </c>
      <c r="E134" s="254">
        <f>Таблица19[[#This Row],[Грунт]]+Таблица19[[#This Row],[Щебень]]+Таблица19[[#This Row],[Асфальт]]+Таблица19[[#This Row],[Бетон]]</f>
        <v>0.5</v>
      </c>
      <c r="F134" s="243">
        <v>0.5</v>
      </c>
      <c r="G134" s="140"/>
      <c r="H134" s="249"/>
      <c r="I134" s="139"/>
      <c r="J134" s="232"/>
      <c r="N134" s="234" t="b">
        <f>OR(Таблица19[[#This Row],[Щебень]]&gt;0,Таблица19[[#This Row],[Асфальт]]&gt;0,Таблица19[[#This Row],[Бетон]]&gt;0)</f>
        <v>0</v>
      </c>
      <c r="Q134" s="234">
        <v>132</v>
      </c>
      <c r="S134" s="235"/>
      <c r="T134" s="235"/>
    </row>
    <row r="135" spans="1:20" s="234" customFormat="1" ht="46.5" x14ac:dyDescent="0.35">
      <c r="A135" s="146">
        <v>133</v>
      </c>
      <c r="B135" s="146" t="s">
        <v>259</v>
      </c>
      <c r="C135" s="146" t="s">
        <v>260</v>
      </c>
      <c r="D135" s="146" t="s">
        <v>539</v>
      </c>
      <c r="E135" s="254">
        <f>Таблица19[[#This Row],[Грунт]]+Таблица19[[#This Row],[Щебень]]+Таблица19[[#This Row],[Асфальт]]+Таблица19[[#This Row],[Бетон]]</f>
        <v>0.5</v>
      </c>
      <c r="F135" s="243">
        <v>0.5</v>
      </c>
      <c r="G135" s="140"/>
      <c r="H135" s="249"/>
      <c r="I135" s="139"/>
      <c r="J135" s="232"/>
      <c r="N135" s="234" t="b">
        <f>OR(Таблица19[[#This Row],[Щебень]]&gt;0,Таблица19[[#This Row],[Асфальт]]&gt;0,Таблица19[[#This Row],[Бетон]]&gt;0)</f>
        <v>0</v>
      </c>
      <c r="Q135" s="234">
        <v>133</v>
      </c>
      <c r="S135" s="235"/>
      <c r="T135" s="235"/>
    </row>
    <row r="136" spans="1:20" s="234" customFormat="1" ht="46.5" x14ac:dyDescent="0.35">
      <c r="A136" s="146">
        <v>134</v>
      </c>
      <c r="B136" s="146" t="s">
        <v>261</v>
      </c>
      <c r="C136" s="146" t="s">
        <v>560</v>
      </c>
      <c r="D136" s="146" t="s">
        <v>539</v>
      </c>
      <c r="E136" s="254">
        <f>Таблица19[[#This Row],[Грунт]]+Таблица19[[#This Row],[Щебень]]+Таблица19[[#This Row],[Асфальт]]+Таблица19[[#This Row],[Бетон]]</f>
        <v>0.5</v>
      </c>
      <c r="F136" s="243">
        <v>0.5</v>
      </c>
      <c r="G136" s="140"/>
      <c r="H136" s="249"/>
      <c r="I136" s="139"/>
      <c r="J136" s="232"/>
      <c r="N136" s="234" t="b">
        <f>OR(Таблица19[[#This Row],[Щебень]]&gt;0,Таблица19[[#This Row],[Асфальт]]&gt;0,Таблица19[[#This Row],[Бетон]]&gt;0)</f>
        <v>0</v>
      </c>
      <c r="Q136" s="234">
        <v>134</v>
      </c>
      <c r="S136" s="235"/>
      <c r="T136" s="235"/>
    </row>
    <row r="137" spans="1:20" s="234" customFormat="1" ht="46.5" x14ac:dyDescent="0.35">
      <c r="A137" s="146">
        <v>135</v>
      </c>
      <c r="B137" s="146" t="s">
        <v>262</v>
      </c>
      <c r="C137" s="146" t="s">
        <v>263</v>
      </c>
      <c r="D137" s="146" t="s">
        <v>539</v>
      </c>
      <c r="E137" s="254">
        <f>Таблица19[[#This Row],[Грунт]]+Таблица19[[#This Row],[Щебень]]+Таблица19[[#This Row],[Асфальт]]+Таблица19[[#This Row],[Бетон]]</f>
        <v>0.5</v>
      </c>
      <c r="F137" s="243">
        <v>0.5</v>
      </c>
      <c r="G137" s="140"/>
      <c r="H137" s="249"/>
      <c r="I137" s="139"/>
      <c r="J137" s="232"/>
      <c r="N137" s="234" t="b">
        <f>OR(Таблица19[[#This Row],[Щебень]]&gt;0,Таблица19[[#This Row],[Асфальт]]&gt;0,Таблица19[[#This Row],[Бетон]]&gt;0)</f>
        <v>0</v>
      </c>
      <c r="Q137" s="234">
        <v>135</v>
      </c>
      <c r="S137" s="235"/>
      <c r="T137" s="235"/>
    </row>
    <row r="138" spans="1:20" s="234" customFormat="1" ht="46.5" x14ac:dyDescent="0.35">
      <c r="A138" s="146">
        <v>136</v>
      </c>
      <c r="B138" s="146" t="s">
        <v>264</v>
      </c>
      <c r="C138" s="146" t="s">
        <v>265</v>
      </c>
      <c r="D138" s="146" t="s">
        <v>539</v>
      </c>
      <c r="E138" s="254">
        <f>Таблица19[[#This Row],[Грунт]]+Таблица19[[#This Row],[Щебень]]+Таблица19[[#This Row],[Асфальт]]+Таблица19[[#This Row],[Бетон]]</f>
        <v>0.5</v>
      </c>
      <c r="F138" s="243">
        <v>0.5</v>
      </c>
      <c r="G138" s="140"/>
      <c r="H138" s="249"/>
      <c r="I138" s="139"/>
      <c r="J138" s="232"/>
      <c r="N138" s="234" t="b">
        <f>OR(Таблица19[[#This Row],[Щебень]]&gt;0,Таблица19[[#This Row],[Асфальт]]&gt;0,Таблица19[[#This Row],[Бетон]]&gt;0)</f>
        <v>0</v>
      </c>
      <c r="Q138" s="234">
        <v>136</v>
      </c>
      <c r="S138" s="235"/>
      <c r="T138" s="235"/>
    </row>
    <row r="139" spans="1:20" s="234" customFormat="1" ht="46.5" x14ac:dyDescent="0.35">
      <c r="A139" s="146">
        <v>137</v>
      </c>
      <c r="B139" s="146" t="s">
        <v>266</v>
      </c>
      <c r="C139" s="146" t="s">
        <v>267</v>
      </c>
      <c r="D139" s="146" t="s">
        <v>540</v>
      </c>
      <c r="E139" s="254">
        <f>Таблица19[[#This Row],[Грунт]]+Таблица19[[#This Row],[Щебень]]+Таблица19[[#This Row],[Асфальт]]+Таблица19[[#This Row],[Бетон]]</f>
        <v>3.3</v>
      </c>
      <c r="F139" s="243"/>
      <c r="G139" s="140">
        <v>3</v>
      </c>
      <c r="H139" s="249">
        <v>0.3</v>
      </c>
      <c r="I139" s="139"/>
      <c r="J139" s="232"/>
      <c r="N139" s="234" t="b">
        <f>OR(Таблица19[[#This Row],[Щебень]]&gt;0,Таблица19[[#This Row],[Асфальт]]&gt;0,Таблица19[[#This Row],[Бетон]]&gt;0)</f>
        <v>1</v>
      </c>
      <c r="O139" s="234">
        <v>1</v>
      </c>
      <c r="Q139" s="234">
        <v>137</v>
      </c>
      <c r="S139" s="235"/>
      <c r="T139" s="235"/>
    </row>
    <row r="140" spans="1:20" s="234" customFormat="1" ht="46.5" x14ac:dyDescent="0.35">
      <c r="A140" s="146">
        <v>138</v>
      </c>
      <c r="B140" s="146" t="s">
        <v>268</v>
      </c>
      <c r="C140" s="146" t="s">
        <v>269</v>
      </c>
      <c r="D140" s="146" t="s">
        <v>540</v>
      </c>
      <c r="E140" s="254">
        <f>Таблица19[[#This Row],[Грунт]]+Таблица19[[#This Row],[Щебень]]+Таблица19[[#This Row],[Асфальт]]+Таблица19[[#This Row],[Бетон]]</f>
        <v>1</v>
      </c>
      <c r="F140" s="243">
        <v>1</v>
      </c>
      <c r="G140" s="140"/>
      <c r="H140" s="249"/>
      <c r="I140" s="139"/>
      <c r="J140" s="232"/>
      <c r="N140" s="234" t="b">
        <f>OR(Таблица19[[#This Row],[Щебень]]&gt;0,Таблица19[[#This Row],[Асфальт]]&gt;0,Таблица19[[#This Row],[Бетон]]&gt;0)</f>
        <v>0</v>
      </c>
      <c r="Q140" s="234">
        <v>138</v>
      </c>
      <c r="S140" s="235"/>
      <c r="T140" s="235"/>
    </row>
    <row r="141" spans="1:20" s="234" customFormat="1" ht="46.5" x14ac:dyDescent="0.35">
      <c r="A141" s="146">
        <v>139</v>
      </c>
      <c r="B141" s="146" t="s">
        <v>270</v>
      </c>
      <c r="C141" s="146" t="s">
        <v>271</v>
      </c>
      <c r="D141" s="146" t="s">
        <v>540</v>
      </c>
      <c r="E141" s="254">
        <f>Таблица19[[#This Row],[Грунт]]+Таблица19[[#This Row],[Щебень]]+Таблица19[[#This Row],[Асфальт]]+Таблица19[[#This Row],[Бетон]]</f>
        <v>1.1000000000000001</v>
      </c>
      <c r="F141" s="243">
        <v>1.1000000000000001</v>
      </c>
      <c r="G141" s="140"/>
      <c r="H141" s="249"/>
      <c r="I141" s="139"/>
      <c r="J141" s="232"/>
      <c r="N141" s="234" t="b">
        <f>OR(Таблица19[[#This Row],[Щебень]]&gt;0,Таблица19[[#This Row],[Асфальт]]&gt;0,Таблица19[[#This Row],[Бетон]]&gt;0)</f>
        <v>0</v>
      </c>
      <c r="Q141" s="234">
        <v>139</v>
      </c>
      <c r="S141" s="235"/>
      <c r="T141" s="235"/>
    </row>
    <row r="142" spans="1:20" s="234" customFormat="1" ht="46.5" x14ac:dyDescent="0.35">
      <c r="A142" s="146">
        <v>140</v>
      </c>
      <c r="B142" s="146" t="s">
        <v>272</v>
      </c>
      <c r="C142" s="146" t="s">
        <v>273</v>
      </c>
      <c r="D142" s="146" t="s">
        <v>540</v>
      </c>
      <c r="E142" s="254">
        <f>Таблица19[[#This Row],[Грунт]]+Таблица19[[#This Row],[Щебень]]+Таблица19[[#This Row],[Асфальт]]+Таблица19[[#This Row],[Бетон]]</f>
        <v>2.2000000000000002</v>
      </c>
      <c r="F142" s="243">
        <v>1.2</v>
      </c>
      <c r="G142" s="140">
        <v>1</v>
      </c>
      <c r="H142" s="249"/>
      <c r="I142" s="139"/>
      <c r="J142" s="232"/>
      <c r="K142" s="233" t="s">
        <v>557</v>
      </c>
      <c r="N142" s="234" t="b">
        <f>OR(Таблица19[[#This Row],[Щебень]]&gt;0,Таблица19[[#This Row],[Асфальт]]&gt;0,Таблица19[[#This Row],[Бетон]]&gt;0)</f>
        <v>1</v>
      </c>
      <c r="O142" s="234">
        <v>1</v>
      </c>
      <c r="Q142" s="234">
        <v>140</v>
      </c>
      <c r="S142" s="235"/>
      <c r="T142" s="235"/>
    </row>
    <row r="143" spans="1:20" s="234" customFormat="1" ht="46.5" x14ac:dyDescent="0.35">
      <c r="A143" s="146">
        <v>141</v>
      </c>
      <c r="B143" s="146" t="s">
        <v>274</v>
      </c>
      <c r="C143" s="146" t="s">
        <v>275</v>
      </c>
      <c r="D143" s="146" t="s">
        <v>540</v>
      </c>
      <c r="E143" s="254">
        <f>Таблица19[[#This Row],[Грунт]]+Таблица19[[#This Row],[Щебень]]+Таблица19[[#This Row],[Асфальт]]+Таблица19[[#This Row],[Бетон]]</f>
        <v>1.7</v>
      </c>
      <c r="F143" s="243">
        <v>1</v>
      </c>
      <c r="G143" s="140">
        <v>0.7</v>
      </c>
      <c r="H143" s="249"/>
      <c r="I143" s="139"/>
      <c r="J143" s="232"/>
      <c r="K143" s="233" t="s">
        <v>557</v>
      </c>
      <c r="N143" s="234" t="b">
        <f>OR(Таблица19[[#This Row],[Щебень]]&gt;0,Таблица19[[#This Row],[Асфальт]]&gt;0,Таблица19[[#This Row],[Бетон]]&gt;0)</f>
        <v>1</v>
      </c>
      <c r="O143" s="234">
        <v>1</v>
      </c>
      <c r="Q143" s="234">
        <v>141</v>
      </c>
      <c r="S143" s="235"/>
      <c r="T143" s="235"/>
    </row>
    <row r="144" spans="1:20" s="234" customFormat="1" ht="46.5" x14ac:dyDescent="0.35">
      <c r="A144" s="146">
        <v>142</v>
      </c>
      <c r="B144" s="146" t="s">
        <v>276</v>
      </c>
      <c r="C144" s="146" t="s">
        <v>277</v>
      </c>
      <c r="D144" s="146" t="s">
        <v>540</v>
      </c>
      <c r="E144" s="254">
        <f>Таблица19[[#This Row],[Грунт]]+Таблица19[[#This Row],[Щебень]]+Таблица19[[#This Row],[Асфальт]]+Таблица19[[#This Row],[Бетон]]</f>
        <v>1.7</v>
      </c>
      <c r="F144" s="243">
        <v>1.7</v>
      </c>
      <c r="G144" s="140"/>
      <c r="H144" s="249"/>
      <c r="I144" s="139"/>
      <c r="J144" s="232"/>
      <c r="K144" s="233" t="s">
        <v>557</v>
      </c>
      <c r="N144" s="234" t="b">
        <f>OR(Таблица19[[#This Row],[Щебень]]&gt;0,Таблица19[[#This Row],[Асфальт]]&gt;0,Таблица19[[#This Row],[Бетон]]&gt;0)</f>
        <v>0</v>
      </c>
      <c r="Q144" s="234">
        <v>142</v>
      </c>
      <c r="S144" s="235"/>
      <c r="T144" s="235"/>
    </row>
    <row r="145" spans="1:20" s="234" customFormat="1" ht="46.5" x14ac:dyDescent="0.35">
      <c r="A145" s="146">
        <v>143</v>
      </c>
      <c r="B145" s="146" t="s">
        <v>278</v>
      </c>
      <c r="C145" s="146" t="s">
        <v>279</v>
      </c>
      <c r="D145" s="146" t="s">
        <v>540</v>
      </c>
      <c r="E145" s="254">
        <f>Таблица19[[#This Row],[Грунт]]+Таблица19[[#This Row],[Щебень]]+Таблица19[[#This Row],[Асфальт]]+Таблица19[[#This Row],[Бетон]]</f>
        <v>1.4</v>
      </c>
      <c r="F145" s="243">
        <v>1.4</v>
      </c>
      <c r="G145" s="140"/>
      <c r="H145" s="249"/>
      <c r="I145" s="139"/>
      <c r="J145" s="232"/>
      <c r="K145" s="233" t="s">
        <v>557</v>
      </c>
      <c r="N145" s="234" t="b">
        <f>OR(Таблица19[[#This Row],[Щебень]]&gt;0,Таблица19[[#This Row],[Асфальт]]&gt;0,Таблица19[[#This Row],[Бетон]]&gt;0)</f>
        <v>0</v>
      </c>
      <c r="Q145" s="234">
        <v>143</v>
      </c>
      <c r="S145" s="235"/>
      <c r="T145" s="235"/>
    </row>
    <row r="146" spans="1:20" s="234" customFormat="1" ht="46.5" x14ac:dyDescent="0.35">
      <c r="A146" s="146">
        <v>144</v>
      </c>
      <c r="B146" s="146" t="s">
        <v>280</v>
      </c>
      <c r="C146" s="146" t="s">
        <v>281</v>
      </c>
      <c r="D146" s="146" t="s">
        <v>571</v>
      </c>
      <c r="E146" s="257">
        <f>Таблица19[[#This Row],[Грунт]]+Таблица19[[#This Row],[Щебень]]+Таблица19[[#This Row],[Асфальт]]+Таблица19[[#This Row],[Бетон]]</f>
        <v>6.1000000000000005</v>
      </c>
      <c r="F146" s="243">
        <v>4.2</v>
      </c>
      <c r="G146" s="140">
        <v>0.4</v>
      </c>
      <c r="H146" s="249">
        <v>0.6</v>
      </c>
      <c r="I146" s="139">
        <v>0.9</v>
      </c>
      <c r="J146" s="232"/>
      <c r="K146" s="233" t="s">
        <v>557</v>
      </c>
      <c r="N146" s="234" t="b">
        <f>OR(Таблица19[[#This Row],[Щебень]]&gt;0,Таблица19[[#This Row],[Асфальт]]&gt;0,Таблица19[[#This Row],[Бетон]]&gt;0)</f>
        <v>1</v>
      </c>
      <c r="O146" s="234">
        <v>1</v>
      </c>
      <c r="Q146" s="234">
        <v>144</v>
      </c>
      <c r="S146" s="235"/>
      <c r="T146" s="235"/>
    </row>
    <row r="147" spans="1:20" s="234" customFormat="1" ht="46.5" x14ac:dyDescent="0.35">
      <c r="A147" s="146">
        <v>145</v>
      </c>
      <c r="B147" s="146" t="s">
        <v>282</v>
      </c>
      <c r="C147" s="146" t="s">
        <v>283</v>
      </c>
      <c r="D147" s="146" t="s">
        <v>571</v>
      </c>
      <c r="E147" s="257">
        <f>Таблица19[[#This Row],[Грунт]]+Таблица19[[#This Row],[Щебень]]+Таблица19[[#This Row],[Асфальт]]+Таблица19[[#This Row],[Бетон]]</f>
        <v>1.5</v>
      </c>
      <c r="F147" s="243">
        <v>1.5</v>
      </c>
      <c r="G147" s="140"/>
      <c r="H147" s="249"/>
      <c r="I147" s="139"/>
      <c r="J147" s="232"/>
      <c r="N147" s="234" t="b">
        <f>OR(Таблица19[[#This Row],[Щебень]]&gt;0,Таблица19[[#This Row],[Асфальт]]&gt;0,Таблица19[[#This Row],[Бетон]]&gt;0)</f>
        <v>0</v>
      </c>
      <c r="Q147" s="234">
        <v>145</v>
      </c>
      <c r="S147" s="235"/>
      <c r="T147" s="235"/>
    </row>
    <row r="148" spans="1:20" s="234" customFormat="1" ht="46.5" x14ac:dyDescent="0.35">
      <c r="A148" s="146">
        <v>146</v>
      </c>
      <c r="B148" s="146" t="s">
        <v>284</v>
      </c>
      <c r="C148" s="146" t="s">
        <v>285</v>
      </c>
      <c r="D148" s="146" t="s">
        <v>571</v>
      </c>
      <c r="E148" s="257">
        <f>Таблица19[[#This Row],[Грунт]]+Таблица19[[#This Row],[Щебень]]+Таблица19[[#This Row],[Асфальт]]+Таблица19[[#This Row],[Бетон]]</f>
        <v>1</v>
      </c>
      <c r="F148" s="243">
        <v>1</v>
      </c>
      <c r="G148" s="140"/>
      <c r="H148" s="249"/>
      <c r="I148" s="139"/>
      <c r="J148" s="232"/>
      <c r="N148" s="234" t="b">
        <f>OR(Таблица19[[#This Row],[Щебень]]&gt;0,Таблица19[[#This Row],[Асфальт]]&gt;0,Таблица19[[#This Row],[Бетон]]&gt;0)</f>
        <v>0</v>
      </c>
      <c r="Q148" s="234">
        <v>146</v>
      </c>
      <c r="S148" s="235"/>
      <c r="T148" s="235"/>
    </row>
    <row r="149" spans="1:20" s="234" customFormat="1" ht="46.5" x14ac:dyDescent="0.35">
      <c r="A149" s="146">
        <v>147</v>
      </c>
      <c r="B149" s="146" t="s">
        <v>286</v>
      </c>
      <c r="C149" s="146" t="s">
        <v>287</v>
      </c>
      <c r="D149" s="146" t="s">
        <v>571</v>
      </c>
      <c r="E149" s="257">
        <f>Таблица19[[#This Row],[Грунт]]+Таблица19[[#This Row],[Щебень]]+Таблица19[[#This Row],[Асфальт]]+Таблица19[[#This Row],[Бетон]]</f>
        <v>0.8</v>
      </c>
      <c r="F149" s="243">
        <v>0.8</v>
      </c>
      <c r="G149" s="140"/>
      <c r="H149" s="249"/>
      <c r="I149" s="139"/>
      <c r="J149" s="232"/>
      <c r="N149" s="234" t="b">
        <f>OR(Таблица19[[#This Row],[Щебень]]&gt;0,Таблица19[[#This Row],[Асфальт]]&gt;0,Таблица19[[#This Row],[Бетон]]&gt;0)</f>
        <v>0</v>
      </c>
      <c r="Q149" s="234">
        <v>147</v>
      </c>
      <c r="S149" s="235"/>
      <c r="T149" s="235"/>
    </row>
    <row r="150" spans="1:20" s="234" customFormat="1" ht="46.5" x14ac:dyDescent="0.35">
      <c r="A150" s="146">
        <v>148</v>
      </c>
      <c r="B150" s="146" t="s">
        <v>288</v>
      </c>
      <c r="C150" s="146" t="s">
        <v>289</v>
      </c>
      <c r="D150" s="146" t="s">
        <v>571</v>
      </c>
      <c r="E150" s="257">
        <f>Таблица19[[#This Row],[Грунт]]+Таблица19[[#This Row],[Щебень]]+Таблица19[[#This Row],[Асфальт]]+Таблица19[[#This Row],[Бетон]]</f>
        <v>0.5</v>
      </c>
      <c r="F150" s="243">
        <v>0.5</v>
      </c>
      <c r="G150" s="140"/>
      <c r="H150" s="249"/>
      <c r="I150" s="139"/>
      <c r="J150" s="232"/>
      <c r="N150" s="234" t="b">
        <f>OR(Таблица19[[#This Row],[Щебень]]&gt;0,Таблица19[[#This Row],[Асфальт]]&gt;0,Таблица19[[#This Row],[Бетон]]&gt;0)</f>
        <v>0</v>
      </c>
      <c r="Q150" s="234">
        <v>148</v>
      </c>
      <c r="S150" s="235"/>
      <c r="T150" s="235"/>
    </row>
    <row r="151" spans="1:20" s="234" customFormat="1" ht="46.5" x14ac:dyDescent="0.35">
      <c r="A151" s="146">
        <v>149</v>
      </c>
      <c r="B151" s="146" t="s">
        <v>290</v>
      </c>
      <c r="C151" s="146" t="s">
        <v>291</v>
      </c>
      <c r="D151" s="146" t="s">
        <v>571</v>
      </c>
      <c r="E151" s="257">
        <f>Таблица19[[#This Row],[Грунт]]+Таблица19[[#This Row],[Щебень]]+Таблица19[[#This Row],[Асфальт]]+Таблица19[[#This Row],[Бетон]]</f>
        <v>0.7</v>
      </c>
      <c r="F151" s="243">
        <v>0.7</v>
      </c>
      <c r="G151" s="140"/>
      <c r="H151" s="249"/>
      <c r="I151" s="139"/>
      <c r="J151" s="232"/>
      <c r="N151" s="234" t="b">
        <f>OR(Таблица19[[#This Row],[Щебень]]&gt;0,Таблица19[[#This Row],[Асфальт]]&gt;0,Таблица19[[#This Row],[Бетон]]&gt;0)</f>
        <v>0</v>
      </c>
      <c r="Q151" s="234">
        <v>149</v>
      </c>
      <c r="S151" s="235"/>
      <c r="T151" s="235"/>
    </row>
    <row r="152" spans="1:20" s="234" customFormat="1" ht="46.5" x14ac:dyDescent="0.35">
      <c r="A152" s="146">
        <v>150</v>
      </c>
      <c r="B152" s="146" t="s">
        <v>292</v>
      </c>
      <c r="C152" s="146" t="s">
        <v>293</v>
      </c>
      <c r="D152" s="146" t="s">
        <v>571</v>
      </c>
      <c r="E152" s="257">
        <f>Таблица19[[#This Row],[Грунт]]+Таблица19[[#This Row],[Щебень]]+Таблица19[[#This Row],[Асфальт]]+Таблица19[[#This Row],[Бетон]]</f>
        <v>1</v>
      </c>
      <c r="F152" s="243">
        <v>1</v>
      </c>
      <c r="G152" s="140"/>
      <c r="H152" s="249"/>
      <c r="I152" s="139"/>
      <c r="J152" s="232"/>
      <c r="N152" s="234" t="b">
        <f>OR(Таблица19[[#This Row],[Щебень]]&gt;0,Таблица19[[#This Row],[Асфальт]]&gt;0,Таблица19[[#This Row],[Бетон]]&gt;0)</f>
        <v>0</v>
      </c>
      <c r="Q152" s="234">
        <v>150</v>
      </c>
      <c r="S152" s="235"/>
      <c r="T152" s="235"/>
    </row>
    <row r="153" spans="1:20" s="234" customFormat="1" ht="46.5" x14ac:dyDescent="0.35">
      <c r="A153" s="146">
        <v>151</v>
      </c>
      <c r="B153" s="146" t="s">
        <v>294</v>
      </c>
      <c r="C153" s="146" t="s">
        <v>295</v>
      </c>
      <c r="D153" s="146" t="s">
        <v>571</v>
      </c>
      <c r="E153" s="257">
        <f>Таблица19[[#This Row],[Грунт]]+Таблица19[[#This Row],[Щебень]]+Таблица19[[#This Row],[Асфальт]]+Таблица19[[#This Row],[Бетон]]</f>
        <v>1.5</v>
      </c>
      <c r="F153" s="243">
        <v>1.5</v>
      </c>
      <c r="G153" s="140"/>
      <c r="H153" s="249"/>
      <c r="I153" s="139"/>
      <c r="J153" s="232"/>
      <c r="N153" s="234" t="b">
        <f>OR(Таблица19[[#This Row],[Щебень]]&gt;0,Таблица19[[#This Row],[Асфальт]]&gt;0,Таблица19[[#This Row],[Бетон]]&gt;0)</f>
        <v>0</v>
      </c>
      <c r="Q153" s="234">
        <v>151</v>
      </c>
      <c r="S153" s="235"/>
      <c r="T153" s="235"/>
    </row>
    <row r="154" spans="1:20" s="234" customFormat="1" ht="46.5" x14ac:dyDescent="0.35">
      <c r="A154" s="146">
        <v>152</v>
      </c>
      <c r="B154" s="146" t="s">
        <v>296</v>
      </c>
      <c r="C154" s="146" t="s">
        <v>297</v>
      </c>
      <c r="D154" s="146" t="s">
        <v>571</v>
      </c>
      <c r="E154" s="257">
        <f>Таблица19[[#This Row],[Грунт]]+Таблица19[[#This Row],[Щебень]]+Таблица19[[#This Row],[Асфальт]]+Таблица19[[#This Row],[Бетон]]</f>
        <v>0.8</v>
      </c>
      <c r="F154" s="243">
        <v>0.8</v>
      </c>
      <c r="G154" s="140"/>
      <c r="H154" s="249"/>
      <c r="I154" s="139"/>
      <c r="J154" s="232"/>
      <c r="N154" s="234" t="b">
        <f>OR(Таблица19[[#This Row],[Щебень]]&gt;0,Таблица19[[#This Row],[Асфальт]]&gt;0,Таблица19[[#This Row],[Бетон]]&gt;0)</f>
        <v>0</v>
      </c>
      <c r="Q154" s="234">
        <v>152</v>
      </c>
      <c r="S154" s="235"/>
      <c r="T154" s="235"/>
    </row>
    <row r="155" spans="1:20" s="234" customFormat="1" ht="46.5" x14ac:dyDescent="0.35">
      <c r="A155" s="146">
        <v>153</v>
      </c>
      <c r="B155" s="146" t="s">
        <v>298</v>
      </c>
      <c r="C155" s="146" t="s">
        <v>299</v>
      </c>
      <c r="D155" s="146" t="s">
        <v>571</v>
      </c>
      <c r="E155" s="257">
        <f>Таблица19[[#This Row],[Грунт]]+Таблица19[[#This Row],[Щебень]]+Таблица19[[#This Row],[Асфальт]]+Таблица19[[#This Row],[Бетон]]</f>
        <v>0.5</v>
      </c>
      <c r="F155" s="243">
        <v>0.5</v>
      </c>
      <c r="G155" s="140"/>
      <c r="H155" s="249"/>
      <c r="I155" s="139"/>
      <c r="J155" s="232"/>
      <c r="N155" s="234" t="b">
        <f>OR(Таблица19[[#This Row],[Щебень]]&gt;0,Таблица19[[#This Row],[Асфальт]]&gt;0,Таблица19[[#This Row],[Бетон]]&gt;0)</f>
        <v>0</v>
      </c>
      <c r="Q155" s="234">
        <v>153</v>
      </c>
      <c r="S155" s="235"/>
      <c r="T155" s="235"/>
    </row>
    <row r="156" spans="1:20" s="234" customFormat="1" ht="46.5" x14ac:dyDescent="0.35">
      <c r="A156" s="146">
        <v>154</v>
      </c>
      <c r="B156" s="146" t="s">
        <v>300</v>
      </c>
      <c r="C156" s="146" t="s">
        <v>301</v>
      </c>
      <c r="D156" s="146" t="s">
        <v>571</v>
      </c>
      <c r="E156" s="257">
        <f>Таблица19[[#This Row],[Грунт]]+Таблица19[[#This Row],[Щебень]]+Таблица19[[#This Row],[Асфальт]]+Таблица19[[#This Row],[Бетон]]</f>
        <v>1.5</v>
      </c>
      <c r="F156" s="243">
        <v>1.5</v>
      </c>
      <c r="G156" s="140"/>
      <c r="H156" s="249"/>
      <c r="I156" s="139"/>
      <c r="J156" s="232"/>
      <c r="N156" s="234" t="b">
        <f>OR(Таблица19[[#This Row],[Щебень]]&gt;0,Таблица19[[#This Row],[Асфальт]]&gt;0,Таблица19[[#This Row],[Бетон]]&gt;0)</f>
        <v>0</v>
      </c>
      <c r="Q156" s="234">
        <v>154</v>
      </c>
      <c r="S156" s="235"/>
      <c r="T156" s="235"/>
    </row>
    <row r="157" spans="1:20" s="234" customFormat="1" ht="46.5" x14ac:dyDescent="0.35">
      <c r="A157" s="146">
        <v>155</v>
      </c>
      <c r="B157" s="146" t="s">
        <v>302</v>
      </c>
      <c r="C157" s="146" t="s">
        <v>303</v>
      </c>
      <c r="D157" s="146" t="s">
        <v>571</v>
      </c>
      <c r="E157" s="257">
        <f>Таблица19[[#This Row],[Грунт]]+Таблица19[[#This Row],[Щебень]]+Таблица19[[#This Row],[Асфальт]]+Таблица19[[#This Row],[Бетон]]</f>
        <v>0.7</v>
      </c>
      <c r="F157" s="243">
        <v>0.7</v>
      </c>
      <c r="G157" s="140"/>
      <c r="H157" s="249"/>
      <c r="I157" s="139"/>
      <c r="J157" s="232"/>
      <c r="N157" s="234" t="b">
        <f>OR(Таблица19[[#This Row],[Щебень]]&gt;0,Таблица19[[#This Row],[Асфальт]]&gt;0,Таблица19[[#This Row],[Бетон]]&gt;0)</f>
        <v>0</v>
      </c>
      <c r="Q157" s="234">
        <v>155</v>
      </c>
      <c r="S157" s="235"/>
      <c r="T157" s="235"/>
    </row>
    <row r="158" spans="1:20" s="234" customFormat="1" ht="46.5" x14ac:dyDescent="0.35">
      <c r="A158" s="146">
        <v>156</v>
      </c>
      <c r="B158" s="146" t="s">
        <v>304</v>
      </c>
      <c r="C158" s="146" t="s">
        <v>305</v>
      </c>
      <c r="D158" s="146" t="s">
        <v>571</v>
      </c>
      <c r="E158" s="257">
        <f>Таблица19[[#This Row],[Грунт]]+Таблица19[[#This Row],[Щебень]]+Таблица19[[#This Row],[Асфальт]]+Таблица19[[#This Row],[Бетон]]</f>
        <v>0.5</v>
      </c>
      <c r="F158" s="243">
        <v>0.5</v>
      </c>
      <c r="G158" s="140"/>
      <c r="H158" s="249"/>
      <c r="I158" s="139"/>
      <c r="J158" s="232"/>
      <c r="N158" s="234" t="b">
        <f>OR(Таблица19[[#This Row],[Щебень]]&gt;0,Таблица19[[#This Row],[Асфальт]]&gt;0,Таблица19[[#This Row],[Бетон]]&gt;0)</f>
        <v>0</v>
      </c>
      <c r="Q158" s="234">
        <v>156</v>
      </c>
      <c r="S158" s="235"/>
      <c r="T158" s="235"/>
    </row>
    <row r="159" spans="1:20" s="234" customFormat="1" ht="46.5" x14ac:dyDescent="0.35">
      <c r="A159" s="146">
        <v>157</v>
      </c>
      <c r="B159" s="146" t="s">
        <v>306</v>
      </c>
      <c r="C159" s="146" t="s">
        <v>307</v>
      </c>
      <c r="D159" s="146" t="s">
        <v>571</v>
      </c>
      <c r="E159" s="257">
        <f>Таблица19[[#This Row],[Грунт]]+Таблица19[[#This Row],[Щебень]]+Таблица19[[#This Row],[Асфальт]]+Таблица19[[#This Row],[Бетон]]</f>
        <v>0.4</v>
      </c>
      <c r="F159" s="243">
        <v>0.4</v>
      </c>
      <c r="G159" s="140"/>
      <c r="H159" s="249"/>
      <c r="I159" s="139"/>
      <c r="J159" s="232"/>
      <c r="N159" s="234" t="b">
        <f>OR(Таблица19[[#This Row],[Щебень]]&gt;0,Таблица19[[#This Row],[Асфальт]]&gt;0,Таблица19[[#This Row],[Бетон]]&gt;0)</f>
        <v>0</v>
      </c>
      <c r="Q159" s="234">
        <v>157</v>
      </c>
      <c r="S159" s="235"/>
      <c r="T159" s="235"/>
    </row>
    <row r="160" spans="1:20" s="234" customFormat="1" ht="46.5" x14ac:dyDescent="0.35">
      <c r="A160" s="146">
        <v>158</v>
      </c>
      <c r="B160" s="146" t="s">
        <v>308</v>
      </c>
      <c r="C160" s="146" t="s">
        <v>309</v>
      </c>
      <c r="D160" s="146" t="s">
        <v>542</v>
      </c>
      <c r="E160" s="254">
        <f>Таблица19[[#This Row],[Грунт]]+Таблица19[[#This Row],[Щебень]]+Таблица19[[#This Row],[Асфальт]]+Таблица19[[#This Row],[Бетон]]</f>
        <v>0.65</v>
      </c>
      <c r="F160" s="243"/>
      <c r="G160" s="140"/>
      <c r="H160" s="249">
        <v>0.65</v>
      </c>
      <c r="I160" s="139"/>
      <c r="J160" s="232"/>
      <c r="N160" s="234" t="b">
        <f>OR(Таблица19[[#This Row],[Щебень]]&gt;0,Таблица19[[#This Row],[Асфальт]]&gt;0,Таблица19[[#This Row],[Бетон]]&gt;0)</f>
        <v>1</v>
      </c>
      <c r="O160" s="234">
        <v>1</v>
      </c>
      <c r="Q160" s="234">
        <v>158</v>
      </c>
      <c r="S160" s="235"/>
      <c r="T160" s="235"/>
    </row>
    <row r="161" spans="1:20" s="234" customFormat="1" ht="46.5" x14ac:dyDescent="0.35">
      <c r="A161" s="146">
        <v>159</v>
      </c>
      <c r="B161" s="146" t="s">
        <v>310</v>
      </c>
      <c r="C161" s="146" t="s">
        <v>311</v>
      </c>
      <c r="D161" s="146" t="s">
        <v>542</v>
      </c>
      <c r="E161" s="254">
        <f>Таблица19[[#This Row],[Грунт]]+Таблица19[[#This Row],[Щебень]]+Таблица19[[#This Row],[Асфальт]]+Таблица19[[#This Row],[Бетон]]</f>
        <v>0.8</v>
      </c>
      <c r="F161" s="243"/>
      <c r="G161" s="140"/>
      <c r="H161" s="249">
        <v>0.8</v>
      </c>
      <c r="I161" s="139"/>
      <c r="J161" s="232"/>
      <c r="N161" s="234" t="b">
        <f>OR(Таблица19[[#This Row],[Щебень]]&gt;0,Таблица19[[#This Row],[Асфальт]]&gt;0,Таблица19[[#This Row],[Бетон]]&gt;0)</f>
        <v>1</v>
      </c>
      <c r="O161" s="234">
        <v>1</v>
      </c>
      <c r="Q161" s="234">
        <v>159</v>
      </c>
      <c r="S161" s="235"/>
      <c r="T161" s="235"/>
    </row>
    <row r="162" spans="1:20" s="234" customFormat="1" ht="46.5" x14ac:dyDescent="0.35">
      <c r="A162" s="146">
        <v>160</v>
      </c>
      <c r="B162" s="146" t="s">
        <v>312</v>
      </c>
      <c r="C162" s="146" t="s">
        <v>313</v>
      </c>
      <c r="D162" s="146" t="s">
        <v>542</v>
      </c>
      <c r="E162" s="254">
        <f>Таблица19[[#This Row],[Грунт]]+Таблица19[[#This Row],[Щебень]]+Таблица19[[#This Row],[Асфальт]]+Таблица19[[#This Row],[Бетон]]</f>
        <v>1.8</v>
      </c>
      <c r="F162" s="243"/>
      <c r="G162" s="140"/>
      <c r="H162" s="249">
        <v>1.8</v>
      </c>
      <c r="I162" s="139"/>
      <c r="J162" s="232"/>
      <c r="N162" s="234" t="b">
        <f>OR(Таблица19[[#This Row],[Щебень]]&gt;0,Таблица19[[#This Row],[Асфальт]]&gt;0,Таблица19[[#This Row],[Бетон]]&gt;0)</f>
        <v>1</v>
      </c>
      <c r="O162" s="234">
        <v>1</v>
      </c>
      <c r="Q162" s="234">
        <v>160</v>
      </c>
      <c r="S162" s="235"/>
      <c r="T162" s="235"/>
    </row>
    <row r="163" spans="1:20" s="234" customFormat="1" ht="46.5" x14ac:dyDescent="0.35">
      <c r="A163" s="146">
        <v>161</v>
      </c>
      <c r="B163" s="146" t="s">
        <v>314</v>
      </c>
      <c r="C163" s="146" t="s">
        <v>315</v>
      </c>
      <c r="D163" s="146" t="s">
        <v>542</v>
      </c>
      <c r="E163" s="254">
        <f>Таблица19[[#This Row],[Грунт]]+Таблица19[[#This Row],[Щебень]]+Таблица19[[#This Row],[Асфальт]]+Таблица19[[#This Row],[Бетон]]</f>
        <v>0.55000000000000004</v>
      </c>
      <c r="F163" s="243"/>
      <c r="G163" s="140"/>
      <c r="H163" s="249">
        <v>0.55000000000000004</v>
      </c>
      <c r="I163" s="139"/>
      <c r="J163" s="232"/>
      <c r="N163" s="234" t="b">
        <f>OR(Таблица19[[#This Row],[Щебень]]&gt;0,Таблица19[[#This Row],[Асфальт]]&gt;0,Таблица19[[#This Row],[Бетон]]&gt;0)</f>
        <v>1</v>
      </c>
      <c r="O163" s="234">
        <v>1</v>
      </c>
      <c r="Q163" s="234">
        <v>161</v>
      </c>
      <c r="S163" s="235"/>
      <c r="T163" s="235"/>
    </row>
    <row r="164" spans="1:20" s="234" customFormat="1" ht="46.5" x14ac:dyDescent="0.35">
      <c r="A164" s="146">
        <v>162</v>
      </c>
      <c r="B164" s="146" t="s">
        <v>316</v>
      </c>
      <c r="C164" s="146" t="s">
        <v>317</v>
      </c>
      <c r="D164" s="146" t="s">
        <v>542</v>
      </c>
      <c r="E164" s="254">
        <f>Таблица19[[#This Row],[Грунт]]+Таблица19[[#This Row],[Щебень]]+Таблица19[[#This Row],[Асфальт]]+Таблица19[[#This Row],[Бетон]]</f>
        <v>1.3</v>
      </c>
      <c r="F164" s="243">
        <v>1.3</v>
      </c>
      <c r="G164" s="140"/>
      <c r="H164" s="249"/>
      <c r="I164" s="139"/>
      <c r="J164" s="232"/>
      <c r="N164" s="234" t="b">
        <f>OR(Таблица19[[#This Row],[Щебень]]&gt;0,Таблица19[[#This Row],[Асфальт]]&gt;0,Таблица19[[#This Row],[Бетон]]&gt;0)</f>
        <v>0</v>
      </c>
      <c r="Q164" s="234">
        <v>162</v>
      </c>
      <c r="S164" s="235"/>
      <c r="T164" s="235"/>
    </row>
    <row r="165" spans="1:20" s="234" customFormat="1" ht="46.5" x14ac:dyDescent="0.35">
      <c r="A165" s="146">
        <v>163</v>
      </c>
      <c r="B165" s="146" t="s">
        <v>318</v>
      </c>
      <c r="C165" s="146" t="s">
        <v>319</v>
      </c>
      <c r="D165" s="146" t="s">
        <v>542</v>
      </c>
      <c r="E165" s="254">
        <f>Таблица19[[#This Row],[Грунт]]+Таблица19[[#This Row],[Щебень]]+Таблица19[[#This Row],[Асфальт]]+Таблица19[[#This Row],[Бетон]]</f>
        <v>0.5</v>
      </c>
      <c r="F165" s="243">
        <v>0.5</v>
      </c>
      <c r="G165" s="140"/>
      <c r="H165" s="249"/>
      <c r="I165" s="139"/>
      <c r="J165" s="232"/>
      <c r="N165" s="234" t="b">
        <f>OR(Таблица19[[#This Row],[Щебень]]&gt;0,Таблица19[[#This Row],[Асфальт]]&gt;0,Таблица19[[#This Row],[Бетон]]&gt;0)</f>
        <v>0</v>
      </c>
      <c r="Q165" s="234">
        <v>163</v>
      </c>
      <c r="S165" s="235"/>
      <c r="T165" s="235"/>
    </row>
    <row r="166" spans="1:20" s="234" customFormat="1" ht="46.5" x14ac:dyDescent="0.35">
      <c r="A166" s="146">
        <v>164</v>
      </c>
      <c r="B166" s="146" t="s">
        <v>320</v>
      </c>
      <c r="C166" s="146" t="s">
        <v>321</v>
      </c>
      <c r="D166" s="146" t="s">
        <v>542</v>
      </c>
      <c r="E166" s="254">
        <f>Таблица19[[#This Row],[Грунт]]+Таблица19[[#This Row],[Щебень]]+Таблица19[[#This Row],[Асфальт]]+Таблица19[[#This Row],[Бетон]]</f>
        <v>5.2</v>
      </c>
      <c r="F166" s="243">
        <v>3.7</v>
      </c>
      <c r="G166" s="140"/>
      <c r="H166" s="249">
        <v>1.5</v>
      </c>
      <c r="I166" s="139"/>
      <c r="J166" s="232"/>
      <c r="N166" s="234" t="b">
        <f>OR(Таблица19[[#This Row],[Щебень]]&gt;0,Таблица19[[#This Row],[Асфальт]]&gt;0,Таблица19[[#This Row],[Бетон]]&gt;0)</f>
        <v>1</v>
      </c>
      <c r="O166" s="234">
        <v>1</v>
      </c>
      <c r="Q166" s="234">
        <v>164</v>
      </c>
      <c r="S166" s="235"/>
      <c r="T166" s="235"/>
    </row>
    <row r="167" spans="1:20" s="234" customFormat="1" ht="46.5" x14ac:dyDescent="0.35">
      <c r="A167" s="146">
        <v>165</v>
      </c>
      <c r="B167" s="146" t="s">
        <v>322</v>
      </c>
      <c r="C167" s="146" t="s">
        <v>323</v>
      </c>
      <c r="D167" s="146" t="s">
        <v>542</v>
      </c>
      <c r="E167" s="254">
        <f>Таблица19[[#This Row],[Грунт]]+Таблица19[[#This Row],[Щебень]]+Таблица19[[#This Row],[Асфальт]]+Таблица19[[#This Row],[Бетон]]</f>
        <v>2.4</v>
      </c>
      <c r="F167" s="243">
        <v>0.4</v>
      </c>
      <c r="G167" s="140">
        <v>2</v>
      </c>
      <c r="H167" s="249"/>
      <c r="I167" s="139"/>
      <c r="J167" s="232"/>
      <c r="N167" s="234" t="b">
        <f>OR(Таблица19[[#This Row],[Щебень]]&gt;0,Таблица19[[#This Row],[Асфальт]]&gt;0,Таблица19[[#This Row],[Бетон]]&gt;0)</f>
        <v>1</v>
      </c>
      <c r="O167" s="234">
        <v>1</v>
      </c>
      <c r="Q167" s="234">
        <v>165</v>
      </c>
      <c r="S167" s="235"/>
      <c r="T167" s="235"/>
    </row>
    <row r="168" spans="1:20" s="234" customFormat="1" ht="46.5" x14ac:dyDescent="0.35">
      <c r="A168" s="146">
        <v>166</v>
      </c>
      <c r="B168" s="146" t="s">
        <v>324</v>
      </c>
      <c r="C168" s="146" t="s">
        <v>325</v>
      </c>
      <c r="D168" s="146" t="s">
        <v>542</v>
      </c>
      <c r="E168" s="254">
        <f>Таблица19[[#This Row],[Грунт]]+Таблица19[[#This Row],[Щебень]]+Таблица19[[#This Row],[Асфальт]]+Таблица19[[#This Row],[Бетон]]</f>
        <v>0.95</v>
      </c>
      <c r="F168" s="243">
        <v>0.95</v>
      </c>
      <c r="G168" s="140"/>
      <c r="H168" s="249"/>
      <c r="I168" s="139"/>
      <c r="J168" s="232"/>
      <c r="N168" s="234" t="b">
        <f>OR(Таблица19[[#This Row],[Щебень]]&gt;0,Таблица19[[#This Row],[Асфальт]]&gt;0,Таблица19[[#This Row],[Бетон]]&gt;0)</f>
        <v>0</v>
      </c>
      <c r="Q168" s="234">
        <v>166</v>
      </c>
      <c r="S168" s="235"/>
      <c r="T168" s="235"/>
    </row>
    <row r="169" spans="1:20" s="234" customFormat="1" ht="46.5" x14ac:dyDescent="0.35">
      <c r="A169" s="146">
        <v>167</v>
      </c>
      <c r="B169" s="146" t="s">
        <v>326</v>
      </c>
      <c r="C169" s="146" t="s">
        <v>327</v>
      </c>
      <c r="D169" s="146" t="s">
        <v>542</v>
      </c>
      <c r="E169" s="254">
        <f>Таблица19[[#This Row],[Грунт]]+Таблица19[[#This Row],[Щебень]]+Таблица19[[#This Row],[Асфальт]]+Таблица19[[#This Row],[Бетон]]</f>
        <v>1.1000000000000001</v>
      </c>
      <c r="F169" s="243">
        <v>1.1000000000000001</v>
      </c>
      <c r="G169" s="140"/>
      <c r="H169" s="249"/>
      <c r="I169" s="139"/>
      <c r="J169" s="232"/>
      <c r="N169" s="234" t="b">
        <f>OR(Таблица19[[#This Row],[Щебень]]&gt;0,Таблица19[[#This Row],[Асфальт]]&gt;0,Таблица19[[#This Row],[Бетон]]&gt;0)</f>
        <v>0</v>
      </c>
      <c r="Q169" s="234">
        <v>167</v>
      </c>
      <c r="S169" s="235"/>
      <c r="T169" s="235"/>
    </row>
    <row r="170" spans="1:20" s="234" customFormat="1" ht="46.5" x14ac:dyDescent="0.35">
      <c r="A170" s="146">
        <v>168</v>
      </c>
      <c r="B170" s="146" t="s">
        <v>328</v>
      </c>
      <c r="C170" s="146" t="s">
        <v>329</v>
      </c>
      <c r="D170" s="146" t="s">
        <v>542</v>
      </c>
      <c r="E170" s="254">
        <f>Таблица19[[#This Row],[Грунт]]+Таблица19[[#This Row],[Щебень]]+Таблица19[[#This Row],[Асфальт]]+Таблица19[[#This Row],[Бетон]]</f>
        <v>0.5</v>
      </c>
      <c r="F170" s="243">
        <v>0.5</v>
      </c>
      <c r="G170" s="140"/>
      <c r="H170" s="249"/>
      <c r="I170" s="139"/>
      <c r="J170" s="232"/>
      <c r="N170" s="234" t="b">
        <f>OR(Таблица19[[#This Row],[Щебень]]&gt;0,Таблица19[[#This Row],[Асфальт]]&gt;0,Таблица19[[#This Row],[Бетон]]&gt;0)</f>
        <v>0</v>
      </c>
      <c r="Q170" s="234">
        <v>168</v>
      </c>
      <c r="S170" s="235"/>
      <c r="T170" s="235"/>
    </row>
    <row r="171" spans="1:20" s="234" customFormat="1" ht="46.5" x14ac:dyDescent="0.35">
      <c r="A171" s="146">
        <v>169</v>
      </c>
      <c r="B171" s="146" t="s">
        <v>330</v>
      </c>
      <c r="C171" s="146" t="s">
        <v>331</v>
      </c>
      <c r="D171" s="146" t="s">
        <v>542</v>
      </c>
      <c r="E171" s="254">
        <f>Таблица19[[#This Row],[Грунт]]+Таблица19[[#This Row],[Щебень]]+Таблица19[[#This Row],[Асфальт]]+Таблица19[[#This Row],[Бетон]]</f>
        <v>1.2</v>
      </c>
      <c r="F171" s="243">
        <v>1</v>
      </c>
      <c r="G171" s="140"/>
      <c r="H171" s="249">
        <v>0.2</v>
      </c>
      <c r="I171" s="139"/>
      <c r="J171" s="232"/>
      <c r="N171" s="234" t="b">
        <f>OR(Таблица19[[#This Row],[Щебень]]&gt;0,Таблица19[[#This Row],[Асфальт]]&gt;0,Таблица19[[#This Row],[Бетон]]&gt;0)</f>
        <v>1</v>
      </c>
      <c r="O171" s="234">
        <v>1</v>
      </c>
      <c r="Q171" s="234">
        <v>169</v>
      </c>
      <c r="S171" s="235"/>
      <c r="T171" s="235"/>
    </row>
    <row r="172" spans="1:20" s="234" customFormat="1" ht="46.5" x14ac:dyDescent="0.35">
      <c r="A172" s="146">
        <v>170</v>
      </c>
      <c r="B172" s="146" t="s">
        <v>332</v>
      </c>
      <c r="C172" s="146" t="s">
        <v>333</v>
      </c>
      <c r="D172" s="146" t="s">
        <v>542</v>
      </c>
      <c r="E172" s="254">
        <f>Таблица19[[#This Row],[Грунт]]+Таблица19[[#This Row],[Щебень]]+Таблица19[[#This Row],[Асфальт]]+Таблица19[[#This Row],[Бетон]]</f>
        <v>0.6</v>
      </c>
      <c r="F172" s="243"/>
      <c r="G172" s="140">
        <v>0.6</v>
      </c>
      <c r="H172" s="249"/>
      <c r="I172" s="139"/>
      <c r="J172" s="232"/>
      <c r="N172" s="234" t="b">
        <f>OR(Таблица19[[#This Row],[Щебень]]&gt;0,Таблица19[[#This Row],[Асфальт]]&gt;0,Таблица19[[#This Row],[Бетон]]&gt;0)</f>
        <v>1</v>
      </c>
      <c r="O172" s="234">
        <v>1</v>
      </c>
      <c r="Q172" s="234">
        <v>170</v>
      </c>
      <c r="S172" s="235"/>
      <c r="T172" s="235"/>
    </row>
    <row r="173" spans="1:20" s="234" customFormat="1" ht="46.5" x14ac:dyDescent="0.35">
      <c r="A173" s="146">
        <v>171</v>
      </c>
      <c r="B173" s="146" t="s">
        <v>334</v>
      </c>
      <c r="C173" s="146" t="s">
        <v>335</v>
      </c>
      <c r="D173" s="146" t="s">
        <v>543</v>
      </c>
      <c r="E173" s="254">
        <f>Таблица19[[#This Row],[Грунт]]+Таблица19[[#This Row],[Щебень]]+Таблица19[[#This Row],[Асфальт]]+Таблица19[[#This Row],[Бетон]]</f>
        <v>2</v>
      </c>
      <c r="F173" s="245">
        <v>0.2</v>
      </c>
      <c r="G173" s="140">
        <v>0.3</v>
      </c>
      <c r="H173" s="249">
        <v>1</v>
      </c>
      <c r="I173" s="139">
        <v>0.5</v>
      </c>
      <c r="J173" s="232"/>
      <c r="K173" s="233" t="s">
        <v>557</v>
      </c>
      <c r="N173" s="234" t="b">
        <f>OR(Таблица19[[#This Row],[Щебень]]&gt;0,Таблица19[[#This Row],[Асфальт]]&gt;0,Таблица19[[#This Row],[Бетон]]&gt;0)</f>
        <v>1</v>
      </c>
      <c r="O173" s="234">
        <v>1</v>
      </c>
      <c r="P173" s="234">
        <v>1.7</v>
      </c>
      <c r="Q173" s="234">
        <v>171</v>
      </c>
      <c r="S173" s="235"/>
      <c r="T173" s="235"/>
    </row>
    <row r="174" spans="1:20" s="234" customFormat="1" ht="46.5" x14ac:dyDescent="0.35">
      <c r="A174" s="146">
        <v>172</v>
      </c>
      <c r="B174" s="146" t="s">
        <v>336</v>
      </c>
      <c r="C174" s="146" t="s">
        <v>337</v>
      </c>
      <c r="D174" s="146" t="s">
        <v>543</v>
      </c>
      <c r="E174" s="254">
        <f>Таблица19[[#This Row],[Грунт]]+Таблица19[[#This Row],[Щебень]]+Таблица19[[#This Row],[Асфальт]]+Таблица19[[#This Row],[Бетон]]</f>
        <v>0.3</v>
      </c>
      <c r="F174" s="245">
        <v>0.3</v>
      </c>
      <c r="G174" s="140"/>
      <c r="H174" s="249"/>
      <c r="I174" s="139"/>
      <c r="J174" s="232"/>
      <c r="N174" s="234" t="b">
        <f>OR(Таблица19[[#This Row],[Щебень]]&gt;0,Таблица19[[#This Row],[Асфальт]]&gt;0,Таблица19[[#This Row],[Бетон]]&gt;0)</f>
        <v>0</v>
      </c>
      <c r="Q174" s="234">
        <v>172</v>
      </c>
      <c r="S174" s="235"/>
      <c r="T174" s="235"/>
    </row>
    <row r="175" spans="1:20" s="234" customFormat="1" ht="46.5" x14ac:dyDescent="0.35">
      <c r="A175" s="146">
        <v>173</v>
      </c>
      <c r="B175" s="146" t="s">
        <v>338</v>
      </c>
      <c r="C175" s="146" t="s">
        <v>339</v>
      </c>
      <c r="D175" s="146" t="s">
        <v>543</v>
      </c>
      <c r="E175" s="254">
        <f>Таблица19[[#This Row],[Грунт]]+Таблица19[[#This Row],[Щебень]]+Таблица19[[#This Row],[Асфальт]]+Таблица19[[#This Row],[Бетон]]</f>
        <v>0.85</v>
      </c>
      <c r="F175" s="245">
        <v>0.85</v>
      </c>
      <c r="G175" s="140"/>
      <c r="H175" s="249"/>
      <c r="I175" s="139"/>
      <c r="J175" s="232"/>
      <c r="N175" s="234" t="b">
        <f>OR(Таблица19[[#This Row],[Щебень]]&gt;0,Таблица19[[#This Row],[Асфальт]]&gt;0,Таблица19[[#This Row],[Бетон]]&gt;0)</f>
        <v>0</v>
      </c>
      <c r="Q175" s="234">
        <v>173</v>
      </c>
      <c r="S175" s="235"/>
      <c r="T175" s="235"/>
    </row>
    <row r="176" spans="1:20" s="234" customFormat="1" ht="46.5" x14ac:dyDescent="0.35">
      <c r="A176" s="146">
        <v>174</v>
      </c>
      <c r="B176" s="146" t="s">
        <v>340</v>
      </c>
      <c r="C176" s="146" t="s">
        <v>341</v>
      </c>
      <c r="D176" s="146" t="s">
        <v>543</v>
      </c>
      <c r="E176" s="254">
        <f>Таблица19[[#This Row],[Грунт]]+Таблица19[[#This Row],[Щебень]]+Таблица19[[#This Row],[Асфальт]]+Таблица19[[#This Row],[Бетон]]</f>
        <v>0.4</v>
      </c>
      <c r="F176" s="245">
        <v>0.4</v>
      </c>
      <c r="G176" s="140"/>
      <c r="H176" s="249"/>
      <c r="I176" s="139"/>
      <c r="J176" s="232"/>
      <c r="N176" s="234" t="b">
        <f>OR(Таблица19[[#This Row],[Щебень]]&gt;0,Таблица19[[#This Row],[Асфальт]]&gt;0,Таблица19[[#This Row],[Бетон]]&gt;0)</f>
        <v>0</v>
      </c>
      <c r="Q176" s="234">
        <v>174</v>
      </c>
      <c r="S176" s="235"/>
      <c r="T176" s="235"/>
    </row>
    <row r="177" spans="1:20" s="234" customFormat="1" ht="46.5" x14ac:dyDescent="0.35">
      <c r="A177" s="146">
        <v>175</v>
      </c>
      <c r="B177" s="146" t="s">
        <v>342</v>
      </c>
      <c r="C177" s="146" t="s">
        <v>343</v>
      </c>
      <c r="D177" s="146" t="s">
        <v>543</v>
      </c>
      <c r="E177" s="254">
        <f>Таблица19[[#This Row],[Грунт]]+Таблица19[[#This Row],[Щебень]]+Таблица19[[#This Row],[Асфальт]]+Таблица19[[#This Row],[Бетон]]</f>
        <v>1.45</v>
      </c>
      <c r="F177" s="245">
        <v>1.45</v>
      </c>
      <c r="G177" s="140"/>
      <c r="H177" s="249"/>
      <c r="I177" s="139"/>
      <c r="J177" s="232"/>
      <c r="N177" s="234" t="b">
        <f>OR(Таблица19[[#This Row],[Щебень]]&gt;0,Таблица19[[#This Row],[Асфальт]]&gt;0,Таблица19[[#This Row],[Бетон]]&gt;0)</f>
        <v>0</v>
      </c>
      <c r="Q177" s="234">
        <v>175</v>
      </c>
      <c r="S177" s="235"/>
      <c r="T177" s="235"/>
    </row>
    <row r="178" spans="1:20" s="234" customFormat="1" ht="46.5" x14ac:dyDescent="0.35">
      <c r="A178" s="146">
        <v>176</v>
      </c>
      <c r="B178" s="146" t="s">
        <v>344</v>
      </c>
      <c r="C178" s="146" t="s">
        <v>345</v>
      </c>
      <c r="D178" s="146" t="s">
        <v>543</v>
      </c>
      <c r="E178" s="254">
        <f>Таблица19[[#This Row],[Грунт]]+Таблица19[[#This Row],[Щебень]]+Таблица19[[#This Row],[Асфальт]]+Таблица19[[#This Row],[Бетон]]</f>
        <v>0.8</v>
      </c>
      <c r="F178" s="245">
        <v>0.8</v>
      </c>
      <c r="G178" s="140"/>
      <c r="H178" s="249"/>
      <c r="I178" s="139"/>
      <c r="J178" s="232"/>
      <c r="N178" s="234" t="b">
        <f>OR(Таблица19[[#This Row],[Щебень]]&gt;0,Таблица19[[#This Row],[Асфальт]]&gt;0,Таблица19[[#This Row],[Бетон]]&gt;0)</f>
        <v>0</v>
      </c>
      <c r="Q178" s="234">
        <v>176</v>
      </c>
      <c r="S178" s="235"/>
      <c r="T178" s="235"/>
    </row>
    <row r="179" spans="1:20" s="234" customFormat="1" ht="46.5" x14ac:dyDescent="0.35">
      <c r="A179" s="146">
        <v>177</v>
      </c>
      <c r="B179" s="146" t="s">
        <v>346</v>
      </c>
      <c r="C179" s="146" t="s">
        <v>347</v>
      </c>
      <c r="D179" s="146" t="s">
        <v>543</v>
      </c>
      <c r="E179" s="254">
        <f>Таблица19[[#This Row],[Грунт]]+Таблица19[[#This Row],[Щебень]]+Таблица19[[#This Row],[Асфальт]]+Таблица19[[#This Row],[Бетон]]</f>
        <v>1.5</v>
      </c>
      <c r="F179" s="245">
        <v>1.5</v>
      </c>
      <c r="G179" s="140"/>
      <c r="H179" s="249"/>
      <c r="I179" s="139"/>
      <c r="J179" s="232"/>
      <c r="N179" s="234" t="b">
        <f>OR(Таблица19[[#This Row],[Щебень]]&gt;0,Таблица19[[#This Row],[Асфальт]]&gt;0,Таблица19[[#This Row],[Бетон]]&gt;0)</f>
        <v>0</v>
      </c>
      <c r="Q179" s="234">
        <v>177</v>
      </c>
      <c r="S179" s="235"/>
      <c r="T179" s="235"/>
    </row>
    <row r="180" spans="1:20" s="234" customFormat="1" ht="46.5" x14ac:dyDescent="0.35">
      <c r="A180" s="146">
        <v>178</v>
      </c>
      <c r="B180" s="146" t="s">
        <v>348</v>
      </c>
      <c r="C180" s="146" t="s">
        <v>349</v>
      </c>
      <c r="D180" s="146" t="s">
        <v>543</v>
      </c>
      <c r="E180" s="254">
        <f>Таблица19[[#This Row],[Грунт]]+Таблица19[[#This Row],[Щебень]]+Таблица19[[#This Row],[Асфальт]]+Таблица19[[#This Row],[Бетон]]</f>
        <v>0.65</v>
      </c>
      <c r="F180" s="245">
        <v>0.65</v>
      </c>
      <c r="G180" s="140"/>
      <c r="H180" s="249"/>
      <c r="I180" s="139"/>
      <c r="J180" s="232"/>
      <c r="N180" s="234" t="b">
        <f>OR(Таблица19[[#This Row],[Щебень]]&gt;0,Таблица19[[#This Row],[Асфальт]]&gt;0,Таблица19[[#This Row],[Бетон]]&gt;0)</f>
        <v>0</v>
      </c>
      <c r="Q180" s="234">
        <v>178</v>
      </c>
      <c r="S180" s="235"/>
      <c r="T180" s="235"/>
    </row>
    <row r="181" spans="1:20" s="234" customFormat="1" ht="46.5" x14ac:dyDescent="0.35">
      <c r="A181" s="146">
        <v>179</v>
      </c>
      <c r="B181" s="146" t="s">
        <v>350</v>
      </c>
      <c r="C181" s="146" t="s">
        <v>351</v>
      </c>
      <c r="D181" s="146" t="s">
        <v>543</v>
      </c>
      <c r="E181" s="254">
        <f>Таблица19[[#This Row],[Грунт]]+Таблица19[[#This Row],[Щебень]]+Таблица19[[#This Row],[Асфальт]]+Таблица19[[#This Row],[Бетон]]</f>
        <v>0.75</v>
      </c>
      <c r="F181" s="245">
        <v>0.75</v>
      </c>
      <c r="G181" s="140"/>
      <c r="H181" s="249"/>
      <c r="I181" s="139"/>
      <c r="J181" s="232"/>
      <c r="N181" s="234" t="b">
        <f>OR(Таблица19[[#This Row],[Щебень]]&gt;0,Таблица19[[#This Row],[Асфальт]]&gt;0,Таблица19[[#This Row],[Бетон]]&gt;0)</f>
        <v>0</v>
      </c>
      <c r="Q181" s="234">
        <v>179</v>
      </c>
      <c r="S181" s="235"/>
      <c r="T181" s="235"/>
    </row>
    <row r="182" spans="1:20" s="234" customFormat="1" ht="46.5" x14ac:dyDescent="0.35">
      <c r="A182" s="146">
        <v>180</v>
      </c>
      <c r="B182" s="146" t="s">
        <v>352</v>
      </c>
      <c r="C182" s="146" t="s">
        <v>353</v>
      </c>
      <c r="D182" s="146" t="s">
        <v>543</v>
      </c>
      <c r="E182" s="254">
        <f>Таблица19[[#This Row],[Грунт]]+Таблица19[[#This Row],[Щебень]]+Таблица19[[#This Row],[Асфальт]]+Таблица19[[#This Row],[Бетон]]</f>
        <v>0.6</v>
      </c>
      <c r="F182" s="245">
        <v>0.6</v>
      </c>
      <c r="G182" s="140"/>
      <c r="H182" s="249"/>
      <c r="I182" s="139"/>
      <c r="J182" s="232"/>
      <c r="N182" s="234" t="b">
        <f>OR(Таблица19[[#This Row],[Щебень]]&gt;0,Таблица19[[#This Row],[Асфальт]]&gt;0,Таблица19[[#This Row],[Бетон]]&gt;0)</f>
        <v>0</v>
      </c>
      <c r="Q182" s="234">
        <v>180</v>
      </c>
      <c r="S182" s="235"/>
      <c r="T182" s="235"/>
    </row>
    <row r="183" spans="1:20" s="234" customFormat="1" ht="46.5" x14ac:dyDescent="0.35">
      <c r="A183" s="146">
        <v>181</v>
      </c>
      <c r="B183" s="146" t="s">
        <v>354</v>
      </c>
      <c r="C183" s="146" t="s">
        <v>355</v>
      </c>
      <c r="D183" s="146" t="s">
        <v>543</v>
      </c>
      <c r="E183" s="254">
        <f>Таблица19[[#This Row],[Грунт]]+Таблица19[[#This Row],[Щебень]]+Таблица19[[#This Row],[Асфальт]]+Таблица19[[#This Row],[Бетон]]</f>
        <v>0.3</v>
      </c>
      <c r="F183" s="245">
        <v>0.3</v>
      </c>
      <c r="G183" s="140"/>
      <c r="H183" s="249"/>
      <c r="I183" s="139"/>
      <c r="J183" s="232"/>
      <c r="N183" s="234" t="b">
        <f>OR(Таблица19[[#This Row],[Щебень]]&gt;0,Таблица19[[#This Row],[Асфальт]]&gt;0,Таблица19[[#This Row],[Бетон]]&gt;0)</f>
        <v>0</v>
      </c>
      <c r="Q183" s="234">
        <v>181</v>
      </c>
      <c r="S183" s="235"/>
      <c r="T183" s="235"/>
    </row>
    <row r="184" spans="1:20" s="234" customFormat="1" ht="46.5" x14ac:dyDescent="0.35">
      <c r="A184" s="146">
        <v>182</v>
      </c>
      <c r="B184" s="146" t="s">
        <v>356</v>
      </c>
      <c r="C184" s="146" t="s">
        <v>357</v>
      </c>
      <c r="D184" s="146" t="s">
        <v>544</v>
      </c>
      <c r="E184" s="254">
        <f>Таблица19[[#This Row],[Грунт]]+Таблица19[[#This Row],[Щебень]]+Таблица19[[#This Row],[Асфальт]]+Таблица19[[#This Row],[Бетон]]</f>
        <v>3.0449999999999999</v>
      </c>
      <c r="F184" s="243">
        <v>2.0390000000000001</v>
      </c>
      <c r="G184" s="140">
        <v>0.98799999999999999</v>
      </c>
      <c r="H184" s="249">
        <v>1.7999999999999999E-2</v>
      </c>
      <c r="I184" s="139"/>
      <c r="J184" s="232"/>
      <c r="N184" s="234" t="b">
        <f>OR(Таблица19[[#This Row],[Щебень]]&gt;0,Таблица19[[#This Row],[Асфальт]]&gt;0,Таблица19[[#This Row],[Бетон]]&gt;0)</f>
        <v>1</v>
      </c>
      <c r="O184" s="234">
        <v>1</v>
      </c>
      <c r="Q184" s="234">
        <v>182</v>
      </c>
      <c r="S184" s="235"/>
      <c r="T184" s="235"/>
    </row>
    <row r="185" spans="1:20" s="234" customFormat="1" ht="46.5" x14ac:dyDescent="0.35">
      <c r="A185" s="146">
        <v>183</v>
      </c>
      <c r="B185" s="146" t="s">
        <v>358</v>
      </c>
      <c r="C185" s="146" t="s">
        <v>359</v>
      </c>
      <c r="D185" s="146" t="s">
        <v>544</v>
      </c>
      <c r="E185" s="254">
        <f>Таблица19[[#This Row],[Грунт]]+Таблица19[[#This Row],[Щебень]]+Таблица19[[#This Row],[Асфальт]]+Таблица19[[#This Row],[Бетон]]</f>
        <v>1</v>
      </c>
      <c r="F185" s="243">
        <v>1</v>
      </c>
      <c r="G185" s="140"/>
      <c r="H185" s="249"/>
      <c r="I185" s="139"/>
      <c r="J185" s="232"/>
      <c r="N185" s="234" t="b">
        <f>OR(Таблица19[[#This Row],[Щебень]]&gt;0,Таблица19[[#This Row],[Асфальт]]&gt;0,Таблица19[[#This Row],[Бетон]]&gt;0)</f>
        <v>0</v>
      </c>
      <c r="Q185" s="234">
        <v>183</v>
      </c>
      <c r="S185" s="235"/>
      <c r="T185" s="235"/>
    </row>
    <row r="186" spans="1:20" s="234" customFormat="1" ht="46.5" x14ac:dyDescent="0.35">
      <c r="A186" s="146">
        <v>184</v>
      </c>
      <c r="B186" s="146" t="s">
        <v>360</v>
      </c>
      <c r="C186" s="146" t="s">
        <v>361</v>
      </c>
      <c r="D186" s="146" t="s">
        <v>544</v>
      </c>
      <c r="E186" s="254">
        <f>Таблица19[[#This Row],[Грунт]]+Таблица19[[#This Row],[Щебень]]+Таблица19[[#This Row],[Асфальт]]+Таблица19[[#This Row],[Бетон]]</f>
        <v>1.8</v>
      </c>
      <c r="F186" s="243">
        <v>1.8</v>
      </c>
      <c r="G186" s="140"/>
      <c r="H186" s="249"/>
      <c r="I186" s="139"/>
      <c r="J186" s="232"/>
      <c r="N186" s="234" t="b">
        <f>OR(Таблица19[[#This Row],[Щебень]]&gt;0,Таблица19[[#This Row],[Асфальт]]&gt;0,Таблица19[[#This Row],[Бетон]]&gt;0)</f>
        <v>0</v>
      </c>
      <c r="Q186" s="234">
        <v>184</v>
      </c>
      <c r="S186" s="235"/>
      <c r="T186" s="235"/>
    </row>
    <row r="187" spans="1:20" s="234" customFormat="1" ht="46.5" x14ac:dyDescent="0.35">
      <c r="A187" s="146">
        <v>185</v>
      </c>
      <c r="B187" s="146" t="s">
        <v>362</v>
      </c>
      <c r="C187" s="146" t="s">
        <v>363</v>
      </c>
      <c r="D187" s="146" t="s">
        <v>544</v>
      </c>
      <c r="E187" s="254">
        <f>Таблица19[[#This Row],[Грунт]]+Таблица19[[#This Row],[Щебень]]+Таблица19[[#This Row],[Асфальт]]+Таблица19[[#This Row],[Бетон]]</f>
        <v>1</v>
      </c>
      <c r="F187" s="243">
        <v>1</v>
      </c>
      <c r="G187" s="140"/>
      <c r="H187" s="249"/>
      <c r="I187" s="139"/>
      <c r="J187" s="232"/>
      <c r="N187" s="234" t="b">
        <f>OR(Таблица19[[#This Row],[Щебень]]&gt;0,Таблица19[[#This Row],[Асфальт]]&gt;0,Таблица19[[#This Row],[Бетон]]&gt;0)</f>
        <v>0</v>
      </c>
      <c r="Q187" s="234">
        <v>185</v>
      </c>
      <c r="S187" s="235"/>
      <c r="T187" s="235"/>
    </row>
    <row r="188" spans="1:20" s="234" customFormat="1" ht="46.5" x14ac:dyDescent="0.35">
      <c r="A188" s="146">
        <v>186</v>
      </c>
      <c r="B188" s="146" t="s">
        <v>364</v>
      </c>
      <c r="C188" s="146" t="s">
        <v>365</v>
      </c>
      <c r="D188" s="146" t="s">
        <v>544</v>
      </c>
      <c r="E188" s="254">
        <f>Таблица19[[#This Row],[Грунт]]+Таблица19[[#This Row],[Щебень]]+Таблица19[[#This Row],[Асфальт]]+Таблица19[[#This Row],[Бетон]]</f>
        <v>1.1000000000000001</v>
      </c>
      <c r="F188" s="243">
        <v>1.1000000000000001</v>
      </c>
      <c r="G188" s="140"/>
      <c r="H188" s="249"/>
      <c r="I188" s="139"/>
      <c r="J188" s="232"/>
      <c r="N188" s="234" t="b">
        <f>OR(Таблица19[[#This Row],[Щебень]]&gt;0,Таблица19[[#This Row],[Асфальт]]&gt;0,Таблица19[[#This Row],[Бетон]]&gt;0)</f>
        <v>0</v>
      </c>
      <c r="Q188" s="234">
        <v>186</v>
      </c>
      <c r="S188" s="235"/>
      <c r="T188" s="235"/>
    </row>
    <row r="189" spans="1:20" s="234" customFormat="1" ht="46.5" x14ac:dyDescent="0.35">
      <c r="A189" s="146">
        <v>187</v>
      </c>
      <c r="B189" s="146" t="s">
        <v>334</v>
      </c>
      <c r="C189" s="146" t="s">
        <v>366</v>
      </c>
      <c r="D189" s="146" t="s">
        <v>545</v>
      </c>
      <c r="E189" s="254">
        <f>Таблица19[[#This Row],[Грунт]]+Таблица19[[#This Row],[Щебень]]+Таблица19[[#This Row],[Асфальт]]+Таблица19[[#This Row],[Бетон]]</f>
        <v>4.32</v>
      </c>
      <c r="F189" s="243">
        <v>2</v>
      </c>
      <c r="G189" s="140">
        <v>2</v>
      </c>
      <c r="H189" s="249"/>
      <c r="I189" s="139">
        <v>0.32</v>
      </c>
      <c r="J189" s="232"/>
      <c r="K189" s="233" t="s">
        <v>557</v>
      </c>
      <c r="N189" s="234" t="b">
        <f>OR(Таблица19[[#This Row],[Щебень]]&gt;0,Таблица19[[#This Row],[Асфальт]]&gt;0,Таблица19[[#This Row],[Бетон]]&gt;0)</f>
        <v>1</v>
      </c>
      <c r="O189" s="234">
        <v>1</v>
      </c>
      <c r="Q189" s="234">
        <v>187</v>
      </c>
      <c r="S189" s="235"/>
      <c r="T189" s="235"/>
    </row>
    <row r="190" spans="1:20" s="234" customFormat="1" ht="46.5" x14ac:dyDescent="0.35">
      <c r="A190" s="146">
        <v>188</v>
      </c>
      <c r="B190" s="146" t="s">
        <v>336</v>
      </c>
      <c r="C190" s="146" t="s">
        <v>367</v>
      </c>
      <c r="D190" s="146" t="s">
        <v>545</v>
      </c>
      <c r="E190" s="254">
        <f>Таблица19[[#This Row],[Грунт]]+Таблица19[[#This Row],[Щебень]]+Таблица19[[#This Row],[Асфальт]]+Таблица19[[#This Row],[Бетон]]</f>
        <v>2.2000000000000002</v>
      </c>
      <c r="F190" s="243">
        <v>0.7</v>
      </c>
      <c r="G190" s="140"/>
      <c r="H190" s="249">
        <v>1.5</v>
      </c>
      <c r="I190" s="139"/>
      <c r="J190" s="232"/>
      <c r="K190" s="233" t="s">
        <v>557</v>
      </c>
      <c r="N190" s="234" t="b">
        <f>OR(Таблица19[[#This Row],[Щебень]]&gt;0,Таблица19[[#This Row],[Асфальт]]&gt;0,Таблица19[[#This Row],[Бетон]]&gt;0)</f>
        <v>1</v>
      </c>
      <c r="O190" s="234">
        <v>1</v>
      </c>
      <c r="Q190" s="234">
        <v>188</v>
      </c>
      <c r="S190" s="235"/>
      <c r="T190" s="235"/>
    </row>
    <row r="191" spans="1:20" s="234" customFormat="1" ht="46.5" x14ac:dyDescent="0.35">
      <c r="A191" s="146">
        <v>189</v>
      </c>
      <c r="B191" s="146" t="s">
        <v>338</v>
      </c>
      <c r="C191" s="146" t="s">
        <v>368</v>
      </c>
      <c r="D191" s="146" t="s">
        <v>545</v>
      </c>
      <c r="E191" s="254">
        <f>Таблица19[[#This Row],[Грунт]]+Таблица19[[#This Row],[Щебень]]+Таблица19[[#This Row],[Асфальт]]+Таблица19[[#This Row],[Бетон]]</f>
        <v>1.5</v>
      </c>
      <c r="F191" s="243">
        <v>1.5</v>
      </c>
      <c r="G191" s="140"/>
      <c r="H191" s="249"/>
      <c r="I191" s="139"/>
      <c r="J191" s="232"/>
      <c r="N191" s="234" t="b">
        <f>OR(Таблица19[[#This Row],[Щебень]]&gt;0,Таблица19[[#This Row],[Асфальт]]&gt;0,Таблица19[[#This Row],[Бетон]]&gt;0)</f>
        <v>0</v>
      </c>
      <c r="Q191" s="234">
        <v>189</v>
      </c>
      <c r="S191" s="235"/>
      <c r="T191" s="235"/>
    </row>
    <row r="192" spans="1:20" s="234" customFormat="1" ht="46.5" x14ac:dyDescent="0.35">
      <c r="A192" s="146">
        <v>190</v>
      </c>
      <c r="B192" s="146" t="s">
        <v>567</v>
      </c>
      <c r="C192" s="146" t="s">
        <v>369</v>
      </c>
      <c r="D192" s="146" t="s">
        <v>545</v>
      </c>
      <c r="E192" s="254">
        <f>Таблица19[[#This Row],[Грунт]]+Таблица19[[#This Row],[Щебень]]+Таблица19[[#This Row],[Асфальт]]+Таблица19[[#This Row],[Бетон]]</f>
        <v>2.1</v>
      </c>
      <c r="F192" s="243">
        <v>2.1</v>
      </c>
      <c r="G192" s="140"/>
      <c r="H192" s="249"/>
      <c r="I192" s="139"/>
      <c r="J192" s="232"/>
      <c r="N192" s="238" t="b">
        <f>OR(Таблица19[[#This Row],[Щебень]]&gt;0,Таблица19[[#This Row],[Асфальт]]&gt;0,Таблица19[[#This Row],[Бетон]]&gt;0)</f>
        <v>0</v>
      </c>
      <c r="Q192" s="234">
        <v>190</v>
      </c>
      <c r="S192" s="235"/>
      <c r="T192" s="235"/>
    </row>
    <row r="193" spans="1:20" s="234" customFormat="1" ht="46.5" x14ac:dyDescent="0.35">
      <c r="A193" s="146">
        <v>192</v>
      </c>
      <c r="B193" s="146" t="s">
        <v>342</v>
      </c>
      <c r="C193" s="146" t="s">
        <v>370</v>
      </c>
      <c r="D193" s="146" t="s">
        <v>545</v>
      </c>
      <c r="E193" s="254">
        <f>Таблица19[[#This Row],[Грунт]]+Таблица19[[#This Row],[Щебень]]+Таблица19[[#This Row],[Асфальт]]+Таблица19[[#This Row],[Бетон]]</f>
        <v>1</v>
      </c>
      <c r="F193" s="243">
        <v>1</v>
      </c>
      <c r="G193" s="140"/>
      <c r="H193" s="249"/>
      <c r="I193" s="139"/>
      <c r="J193" s="232"/>
      <c r="N193" s="234" t="b">
        <f>OR(Таблица19[[#This Row],[Щебень]]&gt;0,Таблица19[[#This Row],[Асфальт]]&gt;0,Таблица19[[#This Row],[Бетон]]&gt;0)</f>
        <v>0</v>
      </c>
      <c r="Q193" s="234">
        <v>191</v>
      </c>
      <c r="S193" s="235"/>
      <c r="T193" s="235"/>
    </row>
    <row r="194" spans="1:20" s="234" customFormat="1" ht="46.5" x14ac:dyDescent="0.35">
      <c r="A194" s="146">
        <v>193</v>
      </c>
      <c r="B194" s="146" t="s">
        <v>344</v>
      </c>
      <c r="C194" s="146" t="s">
        <v>371</v>
      </c>
      <c r="D194" s="146" t="s">
        <v>545</v>
      </c>
      <c r="E194" s="254">
        <f>Таблица19[[#This Row],[Грунт]]+Таблица19[[#This Row],[Щебень]]+Таблица19[[#This Row],[Асфальт]]+Таблица19[[#This Row],[Бетон]]</f>
        <v>1.5</v>
      </c>
      <c r="F194" s="243">
        <v>1.5</v>
      </c>
      <c r="G194" s="140"/>
      <c r="H194" s="249"/>
      <c r="I194" s="139"/>
      <c r="J194" s="232"/>
      <c r="N194" s="234" t="b">
        <f>OR(Таблица19[[#This Row],[Щебень]]&gt;0,Таблица19[[#This Row],[Асфальт]]&gt;0,Таблица19[[#This Row],[Бетон]]&gt;0)</f>
        <v>0</v>
      </c>
      <c r="Q194" s="234">
        <v>192</v>
      </c>
      <c r="S194" s="235"/>
      <c r="T194" s="235"/>
    </row>
    <row r="195" spans="1:20" s="234" customFormat="1" ht="46.5" x14ac:dyDescent="0.35">
      <c r="A195" s="146">
        <v>194</v>
      </c>
      <c r="B195" s="146" t="s">
        <v>346</v>
      </c>
      <c r="C195" s="146" t="s">
        <v>372</v>
      </c>
      <c r="D195" s="146" t="s">
        <v>545</v>
      </c>
      <c r="E195" s="254">
        <f>Таблица19[[#This Row],[Грунт]]+Таблица19[[#This Row],[Щебень]]+Таблица19[[#This Row],[Асфальт]]+Таблица19[[#This Row],[Бетон]]</f>
        <v>2.5</v>
      </c>
      <c r="F195" s="243">
        <v>2.5</v>
      </c>
      <c r="G195" s="140"/>
      <c r="H195" s="249"/>
      <c r="I195" s="139"/>
      <c r="J195" s="232"/>
      <c r="N195" s="234" t="b">
        <f>OR(Таблица19[[#This Row],[Щебень]]&gt;0,Таблица19[[#This Row],[Асфальт]]&gt;0,Таблица19[[#This Row],[Бетон]]&gt;0)</f>
        <v>0</v>
      </c>
      <c r="Q195" s="234">
        <v>193</v>
      </c>
      <c r="S195" s="235"/>
      <c r="T195" s="235"/>
    </row>
    <row r="196" spans="1:20" s="234" customFormat="1" ht="46.5" x14ac:dyDescent="0.35">
      <c r="A196" s="146">
        <v>195</v>
      </c>
      <c r="B196" s="146" t="s">
        <v>348</v>
      </c>
      <c r="C196" s="146" t="s">
        <v>373</v>
      </c>
      <c r="D196" s="146" t="s">
        <v>545</v>
      </c>
      <c r="E196" s="254">
        <f>Таблица19[[#This Row],[Грунт]]+Таблица19[[#This Row],[Щебень]]+Таблица19[[#This Row],[Асфальт]]+Таблица19[[#This Row],[Бетон]]</f>
        <v>1.5</v>
      </c>
      <c r="F196" s="243">
        <v>1.5</v>
      </c>
      <c r="G196" s="140"/>
      <c r="H196" s="249"/>
      <c r="I196" s="139"/>
      <c r="J196" s="232"/>
      <c r="N196" s="234" t="b">
        <f>OR(Таблица19[[#This Row],[Щебень]]&gt;0,Таблица19[[#This Row],[Асфальт]]&gt;0,Таблица19[[#This Row],[Бетон]]&gt;0)</f>
        <v>0</v>
      </c>
      <c r="Q196" s="234">
        <v>194</v>
      </c>
      <c r="S196" s="235"/>
      <c r="T196" s="235"/>
    </row>
    <row r="197" spans="1:20" s="234" customFormat="1" ht="46.5" x14ac:dyDescent="0.35">
      <c r="A197" s="146">
        <v>196</v>
      </c>
      <c r="B197" s="146" t="s">
        <v>350</v>
      </c>
      <c r="C197" s="146" t="s">
        <v>374</v>
      </c>
      <c r="D197" s="146" t="s">
        <v>545</v>
      </c>
      <c r="E197" s="254">
        <f>Таблица19[[#This Row],[Грунт]]+Таблица19[[#This Row],[Щебень]]+Таблица19[[#This Row],[Асфальт]]+Таблица19[[#This Row],[Бетон]]</f>
        <v>1.7</v>
      </c>
      <c r="F197" s="243">
        <v>0.2</v>
      </c>
      <c r="G197" s="140">
        <v>1.5</v>
      </c>
      <c r="H197" s="249"/>
      <c r="I197" s="139"/>
      <c r="J197" s="232"/>
      <c r="K197" s="233" t="s">
        <v>557</v>
      </c>
      <c r="N197" s="234" t="b">
        <f>OR(Таблица19[[#This Row],[Щебень]]&gt;0,Таблица19[[#This Row],[Асфальт]]&gt;0,Таблица19[[#This Row],[Бетон]]&gt;0)</f>
        <v>1</v>
      </c>
      <c r="O197" s="234">
        <v>1</v>
      </c>
      <c r="Q197" s="234">
        <v>195</v>
      </c>
      <c r="S197" s="235"/>
      <c r="T197" s="235"/>
    </row>
    <row r="198" spans="1:20" s="234" customFormat="1" ht="46.5" x14ac:dyDescent="0.35">
      <c r="A198" s="146">
        <v>197</v>
      </c>
      <c r="B198" s="146" t="s">
        <v>352</v>
      </c>
      <c r="C198" s="146" t="s">
        <v>375</v>
      </c>
      <c r="D198" s="146" t="s">
        <v>545</v>
      </c>
      <c r="E198" s="254">
        <f>Таблица19[[#This Row],[Грунт]]+Таблица19[[#This Row],[Щебень]]+Таблица19[[#This Row],[Асфальт]]+Таблица19[[#This Row],[Бетон]]</f>
        <v>1.2</v>
      </c>
      <c r="F198" s="243">
        <v>1.2</v>
      </c>
      <c r="G198" s="140"/>
      <c r="H198" s="249"/>
      <c r="I198" s="139"/>
      <c r="J198" s="232"/>
      <c r="N198" s="234" t="b">
        <f>OR(Таблица19[[#This Row],[Щебень]]&gt;0,Таблица19[[#This Row],[Асфальт]]&gt;0,Таблица19[[#This Row],[Бетон]]&gt;0)</f>
        <v>0</v>
      </c>
      <c r="Q198" s="234">
        <v>196</v>
      </c>
      <c r="S198" s="235"/>
      <c r="T198" s="235"/>
    </row>
    <row r="199" spans="1:20" s="234" customFormat="1" ht="46.5" x14ac:dyDescent="0.35">
      <c r="A199" s="146">
        <v>198</v>
      </c>
      <c r="B199" s="146" t="s">
        <v>354</v>
      </c>
      <c r="C199" s="146" t="s">
        <v>376</v>
      </c>
      <c r="D199" s="146" t="s">
        <v>545</v>
      </c>
      <c r="E199" s="254">
        <f>Таблица19[[#This Row],[Грунт]]+Таблица19[[#This Row],[Щебень]]+Таблица19[[#This Row],[Асфальт]]+Таблица19[[#This Row],[Бетон]]</f>
        <v>1</v>
      </c>
      <c r="F199" s="243">
        <v>1</v>
      </c>
      <c r="G199" s="140"/>
      <c r="H199" s="249"/>
      <c r="I199" s="139"/>
      <c r="J199" s="232"/>
      <c r="N199" s="234" t="b">
        <f>OR(Таблица19[[#This Row],[Щебень]]&gt;0,Таблица19[[#This Row],[Асфальт]]&gt;0,Таблица19[[#This Row],[Бетон]]&gt;0)</f>
        <v>0</v>
      </c>
      <c r="Q199" s="234">
        <v>197</v>
      </c>
      <c r="S199" s="235"/>
      <c r="T199" s="235"/>
    </row>
    <row r="200" spans="1:20" s="234" customFormat="1" ht="46.5" x14ac:dyDescent="0.35">
      <c r="A200" s="146">
        <v>199</v>
      </c>
      <c r="B200" s="146" t="s">
        <v>377</v>
      </c>
      <c r="C200" s="146" t="s">
        <v>378</v>
      </c>
      <c r="D200" s="146" t="s">
        <v>546</v>
      </c>
      <c r="E200" s="254">
        <f>Таблица19[[#This Row],[Грунт]]+Таблица19[[#This Row],[Щебень]]+Таблица19[[#This Row],[Асфальт]]+Таблица19[[#This Row],[Бетон]]</f>
        <v>1.5</v>
      </c>
      <c r="F200" s="243">
        <v>1.3</v>
      </c>
      <c r="G200" s="140"/>
      <c r="H200" s="249">
        <v>0.2</v>
      </c>
      <c r="I200" s="139"/>
      <c r="J200" s="232"/>
      <c r="L200" s="233"/>
      <c r="M200" s="233"/>
      <c r="N200" s="234" t="b">
        <f>OR(Таблица19[[#This Row],[Щебень]]&gt;0,Таблица19[[#This Row],[Асфальт]]&gt;0,Таблица19[[#This Row],[Бетон]]&gt;0)</f>
        <v>1</v>
      </c>
      <c r="O200" s="234">
        <v>1</v>
      </c>
      <c r="Q200" s="234">
        <v>198</v>
      </c>
      <c r="S200" s="235"/>
      <c r="T200" s="235"/>
    </row>
    <row r="201" spans="1:20" s="234" customFormat="1" ht="46.5" x14ac:dyDescent="0.35">
      <c r="A201" s="146">
        <v>200</v>
      </c>
      <c r="B201" s="146" t="s">
        <v>379</v>
      </c>
      <c r="C201" s="146" t="s">
        <v>380</v>
      </c>
      <c r="D201" s="146" t="s">
        <v>546</v>
      </c>
      <c r="E201" s="254">
        <f>Таблица19[[#This Row],[Грунт]]+Таблица19[[#This Row],[Щебень]]+Таблица19[[#This Row],[Асфальт]]+Таблица19[[#This Row],[Бетон]]</f>
        <v>2</v>
      </c>
      <c r="F201" s="243">
        <v>2</v>
      </c>
      <c r="G201" s="140"/>
      <c r="H201" s="249"/>
      <c r="I201" s="139"/>
      <c r="J201" s="232"/>
      <c r="L201" s="233"/>
      <c r="M201" s="233"/>
      <c r="N201" s="234" t="b">
        <f>OR(Таблица19[[#This Row],[Щебень]]&gt;0,Таблица19[[#This Row],[Асфальт]]&gt;0,Таблица19[[#This Row],[Бетон]]&gt;0)</f>
        <v>0</v>
      </c>
      <c r="O201" s="234">
        <f>H41+H46+H200</f>
        <v>8.6999999999999993</v>
      </c>
      <c r="Q201" s="234">
        <v>199</v>
      </c>
      <c r="S201" s="235"/>
      <c r="T201" s="235"/>
    </row>
    <row r="202" spans="1:20" s="234" customFormat="1" ht="46.5" x14ac:dyDescent="0.35">
      <c r="A202" s="146">
        <v>201</v>
      </c>
      <c r="B202" s="146" t="s">
        <v>381</v>
      </c>
      <c r="C202" s="146" t="s">
        <v>382</v>
      </c>
      <c r="D202" s="146" t="s">
        <v>546</v>
      </c>
      <c r="E202" s="254">
        <f>Таблица19[[#This Row],[Грунт]]+Таблица19[[#This Row],[Щебень]]+Таблица19[[#This Row],[Асфальт]]+Таблица19[[#This Row],[Бетон]]</f>
        <v>2</v>
      </c>
      <c r="F202" s="243">
        <v>2</v>
      </c>
      <c r="G202" s="140"/>
      <c r="H202" s="249"/>
      <c r="I202" s="139"/>
      <c r="J202" s="232"/>
      <c r="L202" s="233"/>
      <c r="M202" s="233"/>
      <c r="N202" s="234" t="b">
        <f>OR(Таблица19[[#This Row],[Щебень]]&gt;0,Таблица19[[#This Row],[Асфальт]]&gt;0,Таблица19[[#This Row],[Бетон]]&gt;0)</f>
        <v>0</v>
      </c>
      <c r="Q202" s="234">
        <v>200</v>
      </c>
      <c r="S202" s="235"/>
      <c r="T202" s="235"/>
    </row>
    <row r="203" spans="1:20" s="234" customFormat="1" ht="46.5" x14ac:dyDescent="0.35">
      <c r="A203" s="146">
        <v>202</v>
      </c>
      <c r="B203" s="146" t="s">
        <v>383</v>
      </c>
      <c r="C203" s="146" t="s">
        <v>384</v>
      </c>
      <c r="D203" s="146" t="s">
        <v>546</v>
      </c>
      <c r="E203" s="254">
        <f>Таблица19[[#This Row],[Грунт]]+Таблица19[[#This Row],[Щебень]]+Таблица19[[#This Row],[Асфальт]]+Таблица19[[#This Row],[Бетон]]</f>
        <v>1</v>
      </c>
      <c r="F203" s="243">
        <v>1</v>
      </c>
      <c r="G203" s="140"/>
      <c r="H203" s="249"/>
      <c r="I203" s="139"/>
      <c r="J203" s="232"/>
      <c r="N203" s="234" t="b">
        <f>OR(Таблица19[[#This Row],[Щебень]]&gt;0,Таблица19[[#This Row],[Асфальт]]&gt;0,Таблица19[[#This Row],[Бетон]]&gt;0)</f>
        <v>0</v>
      </c>
      <c r="Q203" s="234">
        <v>201</v>
      </c>
      <c r="S203" s="235"/>
      <c r="T203" s="235"/>
    </row>
    <row r="204" spans="1:20" s="234" customFormat="1" ht="46.5" x14ac:dyDescent="0.35">
      <c r="A204" s="146">
        <v>203</v>
      </c>
      <c r="B204" s="146" t="s">
        <v>385</v>
      </c>
      <c r="C204" s="146" t="s">
        <v>386</v>
      </c>
      <c r="D204" s="146" t="s">
        <v>546</v>
      </c>
      <c r="E204" s="254">
        <f>Таблица19[[#This Row],[Грунт]]+Таблица19[[#This Row],[Щебень]]+Таблица19[[#This Row],[Асфальт]]+Таблица19[[#This Row],[Бетон]]</f>
        <v>3</v>
      </c>
      <c r="F204" s="243">
        <v>3</v>
      </c>
      <c r="G204" s="140"/>
      <c r="H204" s="249"/>
      <c r="I204" s="139"/>
      <c r="J204" s="232"/>
      <c r="N204" s="234" t="b">
        <f>OR(Таблица19[[#This Row],[Щебень]]&gt;0,Таблица19[[#This Row],[Асфальт]]&gt;0,Таблица19[[#This Row],[Бетон]]&gt;0)</f>
        <v>0</v>
      </c>
      <c r="Q204" s="234">
        <v>202</v>
      </c>
      <c r="S204" s="235"/>
      <c r="T204" s="235"/>
    </row>
    <row r="205" spans="1:20" s="234" customFormat="1" ht="46.5" x14ac:dyDescent="0.35">
      <c r="A205" s="146">
        <v>204</v>
      </c>
      <c r="B205" s="146" t="s">
        <v>387</v>
      </c>
      <c r="C205" s="146" t="s">
        <v>388</v>
      </c>
      <c r="D205" s="146" t="s">
        <v>546</v>
      </c>
      <c r="E205" s="254">
        <f>Таблица19[[#This Row],[Грунт]]+Таблица19[[#This Row],[Щебень]]+Таблица19[[#This Row],[Асфальт]]+Таблица19[[#This Row],[Бетон]]</f>
        <v>1</v>
      </c>
      <c r="F205" s="243">
        <v>1</v>
      </c>
      <c r="G205" s="140"/>
      <c r="H205" s="249"/>
      <c r="I205" s="139"/>
      <c r="J205" s="232"/>
      <c r="N205" s="234" t="b">
        <f>OR(Таблица19[[#This Row],[Щебень]]&gt;0,Таблица19[[#This Row],[Асфальт]]&gt;0,Таблица19[[#This Row],[Бетон]]&gt;0)</f>
        <v>0</v>
      </c>
      <c r="Q205" s="234">
        <v>203</v>
      </c>
      <c r="S205" s="235"/>
      <c r="T205" s="235"/>
    </row>
    <row r="206" spans="1:20" s="234" customFormat="1" ht="46.5" x14ac:dyDescent="0.35">
      <c r="A206" s="146">
        <v>205</v>
      </c>
      <c r="B206" s="146" t="s">
        <v>389</v>
      </c>
      <c r="C206" s="146" t="s">
        <v>390</v>
      </c>
      <c r="D206" s="146" t="s">
        <v>546</v>
      </c>
      <c r="E206" s="254">
        <f>Таблица19[[#This Row],[Грунт]]+Таблица19[[#This Row],[Щебень]]+Таблица19[[#This Row],[Асфальт]]+Таблица19[[#This Row],[Бетон]]</f>
        <v>1.5</v>
      </c>
      <c r="F206" s="243">
        <v>1.5</v>
      </c>
      <c r="G206" s="140"/>
      <c r="H206" s="249"/>
      <c r="I206" s="139"/>
      <c r="J206" s="232"/>
      <c r="N206" s="234" t="b">
        <f>OR(Таблица19[[#This Row],[Щебень]]&gt;0,Таблица19[[#This Row],[Асфальт]]&gt;0,Таблица19[[#This Row],[Бетон]]&gt;0)</f>
        <v>0</v>
      </c>
      <c r="Q206" s="234">
        <v>204</v>
      </c>
      <c r="S206" s="235"/>
      <c r="T206" s="235"/>
    </row>
    <row r="207" spans="1:20" s="234" customFormat="1" ht="46.5" x14ac:dyDescent="0.35">
      <c r="A207" s="146">
        <v>206</v>
      </c>
      <c r="B207" s="146" t="s">
        <v>391</v>
      </c>
      <c r="C207" s="146" t="s">
        <v>392</v>
      </c>
      <c r="D207" s="146" t="s">
        <v>546</v>
      </c>
      <c r="E207" s="254">
        <f>Таблица19[[#This Row],[Грунт]]+Таблица19[[#This Row],[Щебень]]+Таблица19[[#This Row],[Асфальт]]+Таблица19[[#This Row],[Бетон]]</f>
        <v>1.5</v>
      </c>
      <c r="F207" s="243">
        <v>1.5</v>
      </c>
      <c r="G207" s="140"/>
      <c r="H207" s="249"/>
      <c r="I207" s="139"/>
      <c r="J207" s="232"/>
      <c r="N207" s="234" t="b">
        <f>OR(Таблица19[[#This Row],[Щебень]]&gt;0,Таблица19[[#This Row],[Асфальт]]&gt;0,Таблица19[[#This Row],[Бетон]]&gt;0)</f>
        <v>0</v>
      </c>
      <c r="Q207" s="234">
        <v>205</v>
      </c>
      <c r="S207" s="235"/>
      <c r="T207" s="235"/>
    </row>
    <row r="208" spans="1:20" s="234" customFormat="1" ht="46.5" x14ac:dyDescent="0.35">
      <c r="A208" s="146">
        <v>207</v>
      </c>
      <c r="B208" s="146" t="s">
        <v>393</v>
      </c>
      <c r="C208" s="146" t="s">
        <v>394</v>
      </c>
      <c r="D208" s="146" t="s">
        <v>546</v>
      </c>
      <c r="E208" s="254">
        <f>Таблица19[[#This Row],[Грунт]]+Таблица19[[#This Row],[Щебень]]+Таблица19[[#This Row],[Асфальт]]+Таблица19[[#This Row],[Бетон]]</f>
        <v>1.5</v>
      </c>
      <c r="F208" s="243">
        <v>1.5</v>
      </c>
      <c r="G208" s="140"/>
      <c r="H208" s="249"/>
      <c r="I208" s="139"/>
      <c r="J208" s="232"/>
      <c r="N208" s="234" t="b">
        <f>OR(Таблица19[[#This Row],[Щебень]]&gt;0,Таблица19[[#This Row],[Асфальт]]&gt;0,Таблица19[[#This Row],[Бетон]]&gt;0)</f>
        <v>0</v>
      </c>
      <c r="Q208" s="234">
        <v>206</v>
      </c>
      <c r="S208" s="235"/>
      <c r="T208" s="235"/>
    </row>
    <row r="209" spans="1:20" s="234" customFormat="1" ht="46.5" x14ac:dyDescent="0.35">
      <c r="A209" s="146">
        <v>208</v>
      </c>
      <c r="B209" s="146" t="s">
        <v>395</v>
      </c>
      <c r="C209" s="146" t="s">
        <v>396</v>
      </c>
      <c r="D209" s="146" t="s">
        <v>546</v>
      </c>
      <c r="E209" s="254">
        <f>Таблица19[[#This Row],[Грунт]]+Таблица19[[#This Row],[Щебень]]+Таблица19[[#This Row],[Асфальт]]+Таблица19[[#This Row],[Бетон]]</f>
        <v>1</v>
      </c>
      <c r="F209" s="243">
        <v>1</v>
      </c>
      <c r="G209" s="140"/>
      <c r="H209" s="249"/>
      <c r="I209" s="139"/>
      <c r="J209" s="232"/>
      <c r="N209" s="234" t="b">
        <f>OR(Таблица19[[#This Row],[Щебень]]&gt;0,Таблица19[[#This Row],[Асфальт]]&gt;0,Таблица19[[#This Row],[Бетон]]&gt;0)</f>
        <v>0</v>
      </c>
      <c r="Q209" s="234">
        <v>207</v>
      </c>
      <c r="S209" s="235"/>
      <c r="T209" s="235"/>
    </row>
    <row r="210" spans="1:20" s="234" customFormat="1" ht="46.5" x14ac:dyDescent="0.35">
      <c r="A210" s="146">
        <v>209</v>
      </c>
      <c r="B210" s="146" t="s">
        <v>397</v>
      </c>
      <c r="C210" s="146" t="s">
        <v>398</v>
      </c>
      <c r="D210" s="146" t="s">
        <v>547</v>
      </c>
      <c r="E210" s="254">
        <f>Таблица19[[#This Row],[Грунт]]+Таблица19[[#This Row],[Щебень]]+Таблица19[[#This Row],[Асфальт]]+Таблица19[[#This Row],[Бетон]]</f>
        <v>5.0999999999999996</v>
      </c>
      <c r="F210" s="243">
        <v>3</v>
      </c>
      <c r="G210" s="140">
        <v>1.1000000000000001</v>
      </c>
      <c r="H210" s="249">
        <v>1</v>
      </c>
      <c r="I210" s="139"/>
      <c r="J210" s="232"/>
      <c r="K210" s="233" t="s">
        <v>557</v>
      </c>
      <c r="N210" s="234" t="b">
        <f>OR(Таблица19[[#This Row],[Щебень]]&gt;0,Таблица19[[#This Row],[Асфальт]]&gt;0,Таблица19[[#This Row],[Бетон]]&gt;0)</f>
        <v>1</v>
      </c>
      <c r="O210" s="234">
        <v>1</v>
      </c>
      <c r="Q210" s="234">
        <v>208</v>
      </c>
      <c r="S210" s="235"/>
      <c r="T210" s="235"/>
    </row>
    <row r="211" spans="1:20" s="234" customFormat="1" ht="46.5" x14ac:dyDescent="0.35">
      <c r="A211" s="146">
        <v>210</v>
      </c>
      <c r="B211" s="146" t="s">
        <v>399</v>
      </c>
      <c r="C211" s="146" t="s">
        <v>400</v>
      </c>
      <c r="D211" s="146" t="s">
        <v>547</v>
      </c>
      <c r="E211" s="254">
        <f>Таблица19[[#This Row],[Грунт]]+Таблица19[[#This Row],[Щебень]]+Таблица19[[#This Row],[Асфальт]]+Таблица19[[#This Row],[Бетон]]</f>
        <v>1.5</v>
      </c>
      <c r="F211" s="243"/>
      <c r="G211" s="140">
        <v>0.5</v>
      </c>
      <c r="H211" s="249">
        <v>1</v>
      </c>
      <c r="I211" s="139"/>
      <c r="J211" s="232"/>
      <c r="N211" s="234" t="b">
        <f>OR(Таблица19[[#This Row],[Щебень]]&gt;0,Таблица19[[#This Row],[Асфальт]]&gt;0,Таблица19[[#This Row],[Бетон]]&gt;0)</f>
        <v>1</v>
      </c>
      <c r="O211" s="234">
        <v>1</v>
      </c>
      <c r="Q211" s="234">
        <v>209</v>
      </c>
      <c r="S211" s="235"/>
      <c r="T211" s="235"/>
    </row>
    <row r="212" spans="1:20" s="234" customFormat="1" ht="46.5" x14ac:dyDescent="0.35">
      <c r="A212" s="146">
        <v>211</v>
      </c>
      <c r="B212" s="146" t="s">
        <v>401</v>
      </c>
      <c r="C212" s="146" t="s">
        <v>402</v>
      </c>
      <c r="D212" s="146" t="s">
        <v>547</v>
      </c>
      <c r="E212" s="254">
        <f>Таблица19[[#This Row],[Грунт]]+Таблица19[[#This Row],[Щебень]]+Таблица19[[#This Row],[Асфальт]]+Таблица19[[#This Row],[Бетон]]</f>
        <v>0.5</v>
      </c>
      <c r="F212" s="243">
        <v>0.2</v>
      </c>
      <c r="G212" s="140"/>
      <c r="H212" s="249">
        <v>0.3</v>
      </c>
      <c r="I212" s="139"/>
      <c r="J212" s="232"/>
      <c r="N212" s="234" t="b">
        <f>OR(Таблица19[[#This Row],[Щебень]]&gt;0,Таблица19[[#This Row],[Асфальт]]&gt;0,Таблица19[[#This Row],[Бетон]]&gt;0)</f>
        <v>1</v>
      </c>
      <c r="O212" s="234">
        <v>1</v>
      </c>
      <c r="Q212" s="234">
        <v>210</v>
      </c>
      <c r="S212" s="235"/>
      <c r="T212" s="235"/>
    </row>
    <row r="213" spans="1:20" s="234" customFormat="1" ht="46.5" x14ac:dyDescent="0.35">
      <c r="A213" s="146">
        <v>212</v>
      </c>
      <c r="B213" s="146" t="s">
        <v>403</v>
      </c>
      <c r="C213" s="146" t="s">
        <v>404</v>
      </c>
      <c r="D213" s="146" t="s">
        <v>547</v>
      </c>
      <c r="E213" s="254">
        <f>Таблица19[[#This Row],[Грунт]]+Таблица19[[#This Row],[Щебень]]+Таблица19[[#This Row],[Асфальт]]+Таблица19[[#This Row],[Бетон]]</f>
        <v>2.6</v>
      </c>
      <c r="F213" s="243">
        <v>1.6</v>
      </c>
      <c r="G213" s="140"/>
      <c r="H213" s="249">
        <v>1</v>
      </c>
      <c r="I213" s="139"/>
      <c r="J213" s="232"/>
      <c r="N213" s="234" t="b">
        <f>OR(Таблица19[[#This Row],[Щебень]]&gt;0,Таблица19[[#This Row],[Асфальт]]&gt;0,Таблица19[[#This Row],[Бетон]]&gt;0)</f>
        <v>1</v>
      </c>
      <c r="O213" s="234">
        <v>1</v>
      </c>
      <c r="Q213" s="234">
        <v>211</v>
      </c>
      <c r="S213" s="235"/>
      <c r="T213" s="235"/>
    </row>
    <row r="214" spans="1:20" s="234" customFormat="1" ht="46.5" x14ac:dyDescent="0.35">
      <c r="A214" s="146">
        <v>213</v>
      </c>
      <c r="B214" s="146" t="s">
        <v>405</v>
      </c>
      <c r="C214" s="146" t="s">
        <v>406</v>
      </c>
      <c r="D214" s="146" t="s">
        <v>547</v>
      </c>
      <c r="E214" s="254">
        <f>Таблица19[[#This Row],[Грунт]]+Таблица19[[#This Row],[Щебень]]+Таблица19[[#This Row],[Асфальт]]+Таблица19[[#This Row],[Бетон]]</f>
        <v>0.6</v>
      </c>
      <c r="F214" s="243"/>
      <c r="G214" s="140">
        <v>0.6</v>
      </c>
      <c r="H214" s="249"/>
      <c r="I214" s="139"/>
      <c r="J214" s="232"/>
      <c r="N214" s="234" t="b">
        <f>OR(Таблица19[[#This Row],[Щебень]]&gt;0,Таблица19[[#This Row],[Асфальт]]&gt;0,Таблица19[[#This Row],[Бетон]]&gt;0)</f>
        <v>1</v>
      </c>
      <c r="O214" s="234">
        <v>1</v>
      </c>
      <c r="Q214" s="234">
        <v>212</v>
      </c>
      <c r="S214" s="235"/>
      <c r="T214" s="235"/>
    </row>
    <row r="215" spans="1:20" s="234" customFormat="1" ht="46.5" x14ac:dyDescent="0.35">
      <c r="A215" s="146">
        <v>214</v>
      </c>
      <c r="B215" s="146" t="s">
        <v>407</v>
      </c>
      <c r="C215" s="146" t="s">
        <v>408</v>
      </c>
      <c r="D215" s="146" t="s">
        <v>547</v>
      </c>
      <c r="E215" s="254">
        <f>Таблица19[[#This Row],[Грунт]]+Таблица19[[#This Row],[Щебень]]+Таблица19[[#This Row],[Асфальт]]+Таблица19[[#This Row],[Бетон]]</f>
        <v>0.7</v>
      </c>
      <c r="F215" s="243">
        <v>0.7</v>
      </c>
      <c r="G215" s="140"/>
      <c r="H215" s="249"/>
      <c r="I215" s="139"/>
      <c r="J215" s="232"/>
      <c r="N215" s="234" t="b">
        <f>OR(Таблица19[[#This Row],[Щебень]]&gt;0,Таблица19[[#This Row],[Асфальт]]&gt;0,Таблица19[[#This Row],[Бетон]]&gt;0)</f>
        <v>0</v>
      </c>
      <c r="Q215" s="234">
        <v>213</v>
      </c>
      <c r="S215" s="235"/>
      <c r="T215" s="235"/>
    </row>
    <row r="216" spans="1:20" s="234" customFormat="1" ht="46.5" x14ac:dyDescent="0.35">
      <c r="A216" s="146">
        <v>215</v>
      </c>
      <c r="B216" s="146" t="s">
        <v>409</v>
      </c>
      <c r="C216" s="146" t="s">
        <v>410</v>
      </c>
      <c r="D216" s="146" t="s">
        <v>547</v>
      </c>
      <c r="E216" s="254">
        <f>Таблица19[[#This Row],[Грунт]]+Таблица19[[#This Row],[Щебень]]+Таблица19[[#This Row],[Асфальт]]+Таблица19[[#This Row],[Бетон]]</f>
        <v>1</v>
      </c>
      <c r="F216" s="243">
        <v>0.5</v>
      </c>
      <c r="G216" s="140">
        <v>0.5</v>
      </c>
      <c r="H216" s="249"/>
      <c r="I216" s="139"/>
      <c r="J216" s="232"/>
      <c r="N216" s="234" t="b">
        <f>OR(Таблица19[[#This Row],[Щебень]]&gt;0,Таблица19[[#This Row],[Асфальт]]&gt;0,Таблица19[[#This Row],[Бетон]]&gt;0)</f>
        <v>1</v>
      </c>
      <c r="O216" s="234">
        <v>1</v>
      </c>
      <c r="Q216" s="234">
        <v>214</v>
      </c>
      <c r="S216" s="235"/>
      <c r="T216" s="235"/>
    </row>
    <row r="217" spans="1:20" s="234" customFormat="1" ht="46.5" x14ac:dyDescent="0.35">
      <c r="A217" s="146">
        <v>216</v>
      </c>
      <c r="B217" s="146" t="s">
        <v>411</v>
      </c>
      <c r="C217" s="146" t="s">
        <v>412</v>
      </c>
      <c r="D217" s="146" t="s">
        <v>548</v>
      </c>
      <c r="E217" s="254">
        <f>Таблица19[[#This Row],[Грунт]]+Таблица19[[#This Row],[Щебень]]+Таблица19[[#This Row],[Асфальт]]+Таблица19[[#This Row],[Бетон]]</f>
        <v>4.9000000000000004</v>
      </c>
      <c r="F217" s="243">
        <v>0.3</v>
      </c>
      <c r="G217" s="140">
        <v>1.3</v>
      </c>
      <c r="H217" s="249">
        <v>3.3</v>
      </c>
      <c r="I217" s="139"/>
      <c r="J217" s="232"/>
      <c r="K217" s="233" t="s">
        <v>557</v>
      </c>
      <c r="N217" s="234" t="b">
        <f>OR(Таблица19[[#This Row],[Щебень]]&gt;0,Таблица19[[#This Row],[Асфальт]]&gt;0,Таблица19[[#This Row],[Бетон]]&gt;0)</f>
        <v>1</v>
      </c>
      <c r="O217" s="234">
        <v>1</v>
      </c>
      <c r="Q217" s="234">
        <v>215</v>
      </c>
      <c r="S217" s="235"/>
      <c r="T217" s="235"/>
    </row>
    <row r="218" spans="1:20" s="234" customFormat="1" ht="46.5" x14ac:dyDescent="0.35">
      <c r="A218" s="146">
        <v>217</v>
      </c>
      <c r="B218" s="146" t="s">
        <v>413</v>
      </c>
      <c r="C218" s="146" t="s">
        <v>414</v>
      </c>
      <c r="D218" s="146" t="s">
        <v>548</v>
      </c>
      <c r="E218" s="254">
        <f>Таблица19[[#This Row],[Грунт]]+Таблица19[[#This Row],[Щебень]]+Таблица19[[#This Row],[Асфальт]]+Таблица19[[#This Row],[Бетон]]</f>
        <v>1.0029999999999999</v>
      </c>
      <c r="F218" s="243">
        <v>0.16500000000000001</v>
      </c>
      <c r="G218" s="140"/>
      <c r="H218" s="249">
        <v>0.83799999999999997</v>
      </c>
      <c r="I218" s="139"/>
      <c r="J218" s="232"/>
      <c r="K218" s="234" t="s">
        <v>558</v>
      </c>
      <c r="N218" s="234" t="b">
        <f>OR(Таблица19[[#This Row],[Щебень]]&gt;0,Таблица19[[#This Row],[Асфальт]]&gt;0,Таблица19[[#This Row],[Бетон]]&gt;0)</f>
        <v>1</v>
      </c>
      <c r="O218" s="234">
        <v>1</v>
      </c>
      <c r="Q218" s="234">
        <v>216</v>
      </c>
      <c r="S218" s="235"/>
      <c r="T218" s="235"/>
    </row>
    <row r="219" spans="1:20" s="234" customFormat="1" ht="46.5" x14ac:dyDescent="0.35">
      <c r="A219" s="146">
        <v>218</v>
      </c>
      <c r="B219" s="146" t="s">
        <v>415</v>
      </c>
      <c r="C219" s="146" t="s">
        <v>416</v>
      </c>
      <c r="D219" s="146" t="s">
        <v>548</v>
      </c>
      <c r="E219" s="254">
        <f>Таблица19[[#This Row],[Грунт]]+Таблица19[[#This Row],[Щебень]]+Таблица19[[#This Row],[Асфальт]]+Таблица19[[#This Row],[Бетон]]</f>
        <v>1.7000000000000002</v>
      </c>
      <c r="F219" s="243">
        <v>1.3</v>
      </c>
      <c r="G219" s="140">
        <v>0.4</v>
      </c>
      <c r="H219" s="249"/>
      <c r="I219" s="139"/>
      <c r="J219" s="232"/>
      <c r="N219" s="234" t="b">
        <f>OR(Таблица19[[#This Row],[Щебень]]&gt;0,Таблица19[[#This Row],[Асфальт]]&gt;0,Таблица19[[#This Row],[Бетон]]&gt;0)</f>
        <v>1</v>
      </c>
      <c r="O219" s="234">
        <v>1</v>
      </c>
      <c r="Q219" s="234">
        <v>217</v>
      </c>
      <c r="S219" s="235"/>
      <c r="T219" s="235"/>
    </row>
    <row r="220" spans="1:20" s="234" customFormat="1" ht="46.5" x14ac:dyDescent="0.35">
      <c r="A220" s="146">
        <v>219</v>
      </c>
      <c r="B220" s="146" t="s">
        <v>417</v>
      </c>
      <c r="C220" s="146" t="s">
        <v>418</v>
      </c>
      <c r="D220" s="146" t="s">
        <v>548</v>
      </c>
      <c r="E220" s="254">
        <f>Таблица19[[#This Row],[Грунт]]+Таблица19[[#This Row],[Щебень]]+Таблица19[[#This Row],[Асфальт]]+Таблица19[[#This Row],[Бетон]]</f>
        <v>0.5</v>
      </c>
      <c r="F220" s="243">
        <v>0.5</v>
      </c>
      <c r="G220" s="140"/>
      <c r="H220" s="249"/>
      <c r="I220" s="139"/>
      <c r="J220" s="232"/>
      <c r="N220" s="234" t="b">
        <f>OR(Таблица19[[#This Row],[Щебень]]&gt;0,Таблица19[[#This Row],[Асфальт]]&gt;0,Таблица19[[#This Row],[Бетон]]&gt;0)</f>
        <v>0</v>
      </c>
      <c r="Q220" s="234">
        <v>218</v>
      </c>
      <c r="S220" s="235"/>
      <c r="T220" s="235"/>
    </row>
    <row r="221" spans="1:20" s="234" customFormat="1" ht="46.5" x14ac:dyDescent="0.35">
      <c r="A221" s="146">
        <v>220</v>
      </c>
      <c r="B221" s="146" t="s">
        <v>419</v>
      </c>
      <c r="C221" s="146" t="s">
        <v>420</v>
      </c>
      <c r="D221" s="146" t="s">
        <v>548</v>
      </c>
      <c r="E221" s="254">
        <f>Таблица19[[#This Row],[Грунт]]+Таблица19[[#This Row],[Щебень]]+Таблица19[[#This Row],[Асфальт]]+Таблица19[[#This Row],[Бетон]]</f>
        <v>0.7</v>
      </c>
      <c r="F221" s="243">
        <v>0.7</v>
      </c>
      <c r="G221" s="140"/>
      <c r="H221" s="249"/>
      <c r="I221" s="139"/>
      <c r="J221" s="232"/>
      <c r="N221" s="234" t="b">
        <f>OR(Таблица19[[#This Row],[Щебень]]&gt;0,Таблица19[[#This Row],[Асфальт]]&gt;0,Таблица19[[#This Row],[Бетон]]&gt;0)</f>
        <v>0</v>
      </c>
      <c r="Q221" s="234">
        <v>219</v>
      </c>
      <c r="S221" s="235"/>
      <c r="T221" s="235"/>
    </row>
    <row r="222" spans="1:20" s="234" customFormat="1" ht="46.5" x14ac:dyDescent="0.35">
      <c r="A222" s="146">
        <v>221</v>
      </c>
      <c r="B222" s="146" t="s">
        <v>421</v>
      </c>
      <c r="C222" s="146" t="s">
        <v>422</v>
      </c>
      <c r="D222" s="146" t="s">
        <v>548</v>
      </c>
      <c r="E222" s="254">
        <f>Таблица19[[#This Row],[Грунт]]+Таблица19[[#This Row],[Щебень]]+Таблица19[[#This Row],[Асфальт]]+Таблица19[[#This Row],[Бетон]]</f>
        <v>0.2</v>
      </c>
      <c r="F222" s="243"/>
      <c r="G222" s="140">
        <v>0.2</v>
      </c>
      <c r="H222" s="249"/>
      <c r="I222" s="139"/>
      <c r="J222" s="232"/>
      <c r="N222" s="234" t="b">
        <f>OR(Таблица19[[#This Row],[Щебень]]&gt;0,Таблица19[[#This Row],[Асфальт]]&gt;0,Таблица19[[#This Row],[Бетон]]&gt;0)</f>
        <v>1</v>
      </c>
      <c r="O222" s="234">
        <v>1</v>
      </c>
      <c r="Q222" s="234">
        <v>220</v>
      </c>
      <c r="S222" s="235"/>
      <c r="T222" s="235"/>
    </row>
    <row r="223" spans="1:20" s="234" customFormat="1" ht="46.5" x14ac:dyDescent="0.35">
      <c r="A223" s="146">
        <v>222</v>
      </c>
      <c r="B223" s="146" t="s">
        <v>423</v>
      </c>
      <c r="C223" s="146" t="s">
        <v>424</v>
      </c>
      <c r="D223" s="146" t="s">
        <v>548</v>
      </c>
      <c r="E223" s="254">
        <f>Таблица19[[#This Row],[Грунт]]+Таблица19[[#This Row],[Щебень]]+Таблица19[[#This Row],[Асфальт]]+Таблица19[[#This Row],[Бетон]]</f>
        <v>0.4</v>
      </c>
      <c r="F223" s="243">
        <v>0.4</v>
      </c>
      <c r="G223" s="140"/>
      <c r="H223" s="249"/>
      <c r="I223" s="139"/>
      <c r="J223" s="232"/>
      <c r="N223" s="234" t="b">
        <f>OR(Таблица19[[#This Row],[Щебень]]&gt;0,Таблица19[[#This Row],[Асфальт]]&gt;0,Таблица19[[#This Row],[Бетон]]&gt;0)</f>
        <v>0</v>
      </c>
      <c r="Q223" s="234">
        <v>221</v>
      </c>
      <c r="S223" s="235"/>
      <c r="T223" s="235"/>
    </row>
    <row r="224" spans="1:20" s="234" customFormat="1" ht="46.5" x14ac:dyDescent="0.35">
      <c r="A224" s="146">
        <v>223</v>
      </c>
      <c r="B224" s="146" t="s">
        <v>425</v>
      </c>
      <c r="C224" s="146" t="s">
        <v>426</v>
      </c>
      <c r="D224" s="146" t="s">
        <v>548</v>
      </c>
      <c r="E224" s="254">
        <f>Таблица19[[#This Row],[Грунт]]+Таблица19[[#This Row],[Щебень]]+Таблица19[[#This Row],[Асфальт]]+Таблица19[[#This Row],[Бетон]]</f>
        <v>9.5</v>
      </c>
      <c r="F224" s="243">
        <v>7.9</v>
      </c>
      <c r="G224" s="140"/>
      <c r="H224" s="249">
        <v>1.6</v>
      </c>
      <c r="I224" s="139"/>
      <c r="J224" s="232"/>
      <c r="K224" s="233" t="s">
        <v>557</v>
      </c>
      <c r="N224" s="234" t="b">
        <f>OR(Таблица19[[#This Row],[Щебень]]&gt;0,Таблица19[[#This Row],[Асфальт]]&gt;0,Таблица19[[#This Row],[Бетон]]&gt;0)</f>
        <v>1</v>
      </c>
      <c r="O224" s="234">
        <v>1</v>
      </c>
      <c r="Q224" s="234">
        <v>222</v>
      </c>
      <c r="S224" s="235">
        <f>Таблица19[[#This Row],[Протяженность(км)]]-9.5</f>
        <v>0</v>
      </c>
      <c r="T224" s="235">
        <f>9.5-Таблица19[[#This Row],[Протяженность(км)]]</f>
        <v>0</v>
      </c>
    </row>
    <row r="225" spans="1:20" s="234" customFormat="1" ht="46.5" x14ac:dyDescent="0.35">
      <c r="A225" s="146">
        <v>224</v>
      </c>
      <c r="B225" s="146" t="s">
        <v>427</v>
      </c>
      <c r="C225" s="146" t="s">
        <v>428</v>
      </c>
      <c r="D225" s="146" t="s">
        <v>548</v>
      </c>
      <c r="E225" s="254">
        <f>Таблица19[[#This Row],[Грунт]]+Таблица19[[#This Row],[Щебень]]+Таблица19[[#This Row],[Асфальт]]+Таблица19[[#This Row],[Бетон]]</f>
        <v>0.9</v>
      </c>
      <c r="F225" s="243">
        <v>0.9</v>
      </c>
      <c r="G225" s="140">
        <v>0</v>
      </c>
      <c r="H225" s="249"/>
      <c r="I225" s="139"/>
      <c r="J225" s="232"/>
      <c r="N225" s="234" t="b">
        <f>OR(Таблица19[[#This Row],[Щебень]]&gt;0,Таблица19[[#This Row],[Асфальт]]&gt;0,Таблица19[[#This Row],[Бетон]]&gt;0)</f>
        <v>0</v>
      </c>
      <c r="O225" s="234">
        <v>1</v>
      </c>
      <c r="Q225" s="234">
        <v>223</v>
      </c>
      <c r="S225" s="235"/>
      <c r="T225" s="235"/>
    </row>
    <row r="226" spans="1:20" s="234" customFormat="1" ht="46.5" x14ac:dyDescent="0.35">
      <c r="A226" s="146">
        <v>225</v>
      </c>
      <c r="B226" s="146" t="s">
        <v>429</v>
      </c>
      <c r="C226" s="146" t="s">
        <v>430</v>
      </c>
      <c r="D226" s="146" t="s">
        <v>548</v>
      </c>
      <c r="E226" s="254">
        <f>Таблица19[[#This Row],[Грунт]]+Таблица19[[#This Row],[Щебень]]+Таблица19[[#This Row],[Асфальт]]+Таблица19[[#This Row],[Бетон]]</f>
        <v>0.3</v>
      </c>
      <c r="F226" s="243"/>
      <c r="G226" s="140"/>
      <c r="H226" s="249">
        <v>0.3</v>
      </c>
      <c r="I226" s="139"/>
      <c r="J226" s="232"/>
      <c r="N226" s="234" t="b">
        <f>OR(Таблица19[[#This Row],[Щебень]]&gt;0,Таблица19[[#This Row],[Асфальт]]&gt;0,Таблица19[[#This Row],[Бетон]]&gt;0)</f>
        <v>1</v>
      </c>
      <c r="O226" s="234">
        <v>1</v>
      </c>
      <c r="Q226" s="234">
        <v>224</v>
      </c>
      <c r="S226" s="235"/>
      <c r="T226" s="235"/>
    </row>
    <row r="227" spans="1:20" s="234" customFormat="1" ht="46.5" x14ac:dyDescent="0.35">
      <c r="A227" s="146">
        <v>226</v>
      </c>
      <c r="B227" s="146" t="s">
        <v>431</v>
      </c>
      <c r="C227" s="146" t="s">
        <v>432</v>
      </c>
      <c r="D227" s="146" t="s">
        <v>548</v>
      </c>
      <c r="E227" s="254">
        <f>Таблица19[[#This Row],[Грунт]]+Таблица19[[#This Row],[Щебень]]+Таблица19[[#This Row],[Асфальт]]+Таблица19[[#This Row],[Бетон]]</f>
        <v>0.5</v>
      </c>
      <c r="F227" s="243">
        <v>0.5</v>
      </c>
      <c r="G227" s="140"/>
      <c r="H227" s="249"/>
      <c r="I227" s="139"/>
      <c r="J227" s="232"/>
      <c r="N227" s="234" t="b">
        <f>OR(Таблица19[[#This Row],[Щебень]]&gt;0,Таблица19[[#This Row],[Асфальт]]&gt;0,Таблица19[[#This Row],[Бетон]]&gt;0)</f>
        <v>0</v>
      </c>
      <c r="Q227" s="234">
        <v>225</v>
      </c>
      <c r="S227" s="235"/>
      <c r="T227" s="235"/>
    </row>
    <row r="228" spans="1:20" s="234" customFormat="1" ht="46.5" x14ac:dyDescent="0.35">
      <c r="A228" s="146">
        <v>227</v>
      </c>
      <c r="B228" s="146" t="s">
        <v>433</v>
      </c>
      <c r="C228" s="146" t="s">
        <v>434</v>
      </c>
      <c r="D228" s="146" t="s">
        <v>549</v>
      </c>
      <c r="E228" s="254">
        <f>Таблица19[[#This Row],[Грунт]]+Таблица19[[#This Row],[Щебень]]+Таблица19[[#This Row],[Асфальт]]+Таблица19[[#This Row],[Бетон]]</f>
        <v>6.5</v>
      </c>
      <c r="F228" s="243"/>
      <c r="G228" s="140"/>
      <c r="H228" s="249">
        <v>6.5</v>
      </c>
      <c r="I228" s="139"/>
      <c r="J228" s="232"/>
      <c r="K228" s="233" t="s">
        <v>557</v>
      </c>
      <c r="N228" s="234" t="b">
        <f>OR(Таблица19[[#This Row],[Щебень]]&gt;0,Таблица19[[#This Row],[Асфальт]]&gt;0,Таблица19[[#This Row],[Бетон]]&gt;0)</f>
        <v>1</v>
      </c>
      <c r="O228" s="234">
        <v>1</v>
      </c>
      <c r="Q228" s="234">
        <v>226</v>
      </c>
      <c r="S228" s="235"/>
      <c r="T228" s="235"/>
    </row>
    <row r="229" spans="1:20" s="234" customFormat="1" ht="46.5" x14ac:dyDescent="0.35">
      <c r="A229" s="146">
        <v>228</v>
      </c>
      <c r="B229" s="146" t="s">
        <v>435</v>
      </c>
      <c r="C229" s="146" t="s">
        <v>436</v>
      </c>
      <c r="D229" s="146" t="s">
        <v>549</v>
      </c>
      <c r="E229" s="254">
        <f>Таблица19[[#This Row],[Грунт]]+Таблица19[[#This Row],[Щебень]]+Таблица19[[#This Row],[Асфальт]]+Таблица19[[#This Row],[Бетон]]</f>
        <v>2</v>
      </c>
      <c r="F229" s="243">
        <v>2</v>
      </c>
      <c r="G229" s="140"/>
      <c r="H229" s="249"/>
      <c r="I229" s="139"/>
      <c r="J229" s="232"/>
      <c r="N229" s="234" t="b">
        <f>OR(Таблица19[[#This Row],[Щебень]]&gt;0,Таблица19[[#This Row],[Асфальт]]&gt;0,Таблица19[[#This Row],[Бетон]]&gt;0)</f>
        <v>0</v>
      </c>
      <c r="Q229" s="234">
        <v>227</v>
      </c>
      <c r="S229" s="235"/>
      <c r="T229" s="235"/>
    </row>
    <row r="230" spans="1:20" s="234" customFormat="1" ht="46.5" x14ac:dyDescent="0.35">
      <c r="A230" s="146">
        <v>229</v>
      </c>
      <c r="B230" s="146" t="s">
        <v>437</v>
      </c>
      <c r="C230" s="146" t="s">
        <v>438</v>
      </c>
      <c r="D230" s="146" t="s">
        <v>549</v>
      </c>
      <c r="E230" s="254">
        <f>Таблица19[[#This Row],[Грунт]]+Таблица19[[#This Row],[Щебень]]+Таблица19[[#This Row],[Асфальт]]+Таблица19[[#This Row],[Бетон]]</f>
        <v>1</v>
      </c>
      <c r="F230" s="243">
        <v>1</v>
      </c>
      <c r="G230" s="140"/>
      <c r="H230" s="249"/>
      <c r="I230" s="139"/>
      <c r="J230" s="232"/>
      <c r="N230" s="234" t="b">
        <f>OR(Таблица19[[#This Row],[Щебень]]&gt;0,Таблица19[[#This Row],[Асфальт]]&gt;0,Таблица19[[#This Row],[Бетон]]&gt;0)</f>
        <v>0</v>
      </c>
      <c r="Q230" s="234">
        <v>228</v>
      </c>
      <c r="S230" s="235"/>
      <c r="T230" s="235"/>
    </row>
    <row r="231" spans="1:20" s="234" customFormat="1" ht="46.5" x14ac:dyDescent="0.35">
      <c r="A231" s="146">
        <v>230</v>
      </c>
      <c r="B231" s="146" t="s">
        <v>439</v>
      </c>
      <c r="C231" s="146" t="s">
        <v>440</v>
      </c>
      <c r="D231" s="146" t="s">
        <v>549</v>
      </c>
      <c r="E231" s="254">
        <f>Таблица19[[#This Row],[Грунт]]+Таблица19[[#This Row],[Щебень]]+Таблица19[[#This Row],[Асфальт]]+Таблица19[[#This Row],[Бетон]]</f>
        <v>1</v>
      </c>
      <c r="F231" s="243">
        <v>1</v>
      </c>
      <c r="G231" s="140"/>
      <c r="H231" s="249"/>
      <c r="I231" s="139"/>
      <c r="J231" s="232"/>
      <c r="N231" s="234" t="b">
        <f>OR(Таблица19[[#This Row],[Щебень]]&gt;0,Таблица19[[#This Row],[Асфальт]]&gt;0,Таблица19[[#This Row],[Бетон]]&gt;0)</f>
        <v>0</v>
      </c>
      <c r="Q231" s="234">
        <v>229</v>
      </c>
      <c r="S231" s="235"/>
      <c r="T231" s="235"/>
    </row>
    <row r="232" spans="1:20" s="234" customFormat="1" ht="46.5" x14ac:dyDescent="0.35">
      <c r="A232" s="146">
        <v>231</v>
      </c>
      <c r="B232" s="146" t="s">
        <v>441</v>
      </c>
      <c r="C232" s="146" t="s">
        <v>442</v>
      </c>
      <c r="D232" s="146" t="s">
        <v>549</v>
      </c>
      <c r="E232" s="254">
        <f>Таблица19[[#This Row],[Грунт]]+Таблица19[[#This Row],[Щебень]]+Таблица19[[#This Row],[Асфальт]]+Таблица19[[#This Row],[Бетон]]</f>
        <v>0.6</v>
      </c>
      <c r="F232" s="243">
        <v>0.6</v>
      </c>
      <c r="G232" s="140"/>
      <c r="H232" s="249"/>
      <c r="I232" s="139"/>
      <c r="J232" s="232"/>
      <c r="N232" s="234" t="b">
        <f>OR(Таблица19[[#This Row],[Щебень]]&gt;0,Таблица19[[#This Row],[Асфальт]]&gt;0,Таблица19[[#This Row],[Бетон]]&gt;0)</f>
        <v>0</v>
      </c>
      <c r="Q232" s="234">
        <v>230</v>
      </c>
      <c r="S232" s="235"/>
      <c r="T232" s="235"/>
    </row>
    <row r="233" spans="1:20" s="234" customFormat="1" ht="46.5" x14ac:dyDescent="0.35">
      <c r="A233" s="146">
        <v>232</v>
      </c>
      <c r="B233" s="146" t="s">
        <v>443</v>
      </c>
      <c r="C233" s="146" t="s">
        <v>444</v>
      </c>
      <c r="D233" s="146" t="s">
        <v>549</v>
      </c>
      <c r="E233" s="254">
        <f>Таблица19[[#This Row],[Грунт]]+Таблица19[[#This Row],[Щебень]]+Таблица19[[#This Row],[Асфальт]]+Таблица19[[#This Row],[Бетон]]</f>
        <v>1</v>
      </c>
      <c r="F233" s="243">
        <v>1</v>
      </c>
      <c r="G233" s="140"/>
      <c r="H233" s="249"/>
      <c r="I233" s="139"/>
      <c r="J233" s="232"/>
      <c r="N233" s="234" t="b">
        <f>OR(Таблица19[[#This Row],[Щебень]]&gt;0,Таблица19[[#This Row],[Асфальт]]&gt;0,Таблица19[[#This Row],[Бетон]]&gt;0)</f>
        <v>0</v>
      </c>
      <c r="Q233" s="234">
        <v>231</v>
      </c>
      <c r="S233" s="235"/>
      <c r="T233" s="235"/>
    </row>
    <row r="234" spans="1:20" s="234" customFormat="1" ht="46.5" x14ac:dyDescent="0.35">
      <c r="A234" s="146">
        <v>233</v>
      </c>
      <c r="B234" s="146" t="s">
        <v>445</v>
      </c>
      <c r="C234" s="146" t="s">
        <v>446</v>
      </c>
      <c r="D234" s="146" t="s">
        <v>549</v>
      </c>
      <c r="E234" s="254">
        <f>Таблица19[[#This Row],[Грунт]]+Таблица19[[#This Row],[Щебень]]+Таблица19[[#This Row],[Асфальт]]+Таблица19[[#This Row],[Бетон]]</f>
        <v>0.5</v>
      </c>
      <c r="F234" s="243">
        <v>0.5</v>
      </c>
      <c r="G234" s="140"/>
      <c r="H234" s="249"/>
      <c r="I234" s="139"/>
      <c r="J234" s="232"/>
      <c r="N234" s="234" t="b">
        <f>OR(Таблица19[[#This Row],[Щебень]]&gt;0,Таблица19[[#This Row],[Асфальт]]&gt;0,Таблица19[[#This Row],[Бетон]]&gt;0)</f>
        <v>0</v>
      </c>
      <c r="Q234" s="234">
        <v>232</v>
      </c>
      <c r="S234" s="235"/>
      <c r="T234" s="235"/>
    </row>
    <row r="235" spans="1:20" s="234" customFormat="1" ht="46.5" x14ac:dyDescent="0.35">
      <c r="A235" s="146">
        <v>234</v>
      </c>
      <c r="B235" s="146" t="s">
        <v>447</v>
      </c>
      <c r="C235" s="146" t="s">
        <v>448</v>
      </c>
      <c r="D235" s="146" t="s">
        <v>549</v>
      </c>
      <c r="E235" s="254">
        <f>Таблица19[[#This Row],[Грунт]]+Таблица19[[#This Row],[Щебень]]+Таблица19[[#This Row],[Асфальт]]+Таблица19[[#This Row],[Бетон]]</f>
        <v>3</v>
      </c>
      <c r="F235" s="243">
        <v>1.7</v>
      </c>
      <c r="G235" s="140">
        <v>0.3</v>
      </c>
      <c r="H235" s="249">
        <v>1</v>
      </c>
      <c r="I235" s="139"/>
      <c r="J235" s="232"/>
      <c r="N235" s="234" t="b">
        <f>OR(Таблица19[[#This Row],[Щебень]]&gt;0,Таблица19[[#This Row],[Асфальт]]&gt;0,Таблица19[[#This Row],[Бетон]]&gt;0)</f>
        <v>1</v>
      </c>
      <c r="O235" s="234">
        <v>1</v>
      </c>
      <c r="Q235" s="234">
        <v>233</v>
      </c>
      <c r="S235" s="235"/>
      <c r="T235" s="235"/>
    </row>
    <row r="236" spans="1:20" s="234" customFormat="1" ht="46.5" x14ac:dyDescent="0.35">
      <c r="A236" s="146">
        <v>235</v>
      </c>
      <c r="B236" s="146" t="s">
        <v>449</v>
      </c>
      <c r="C236" s="146" t="s">
        <v>450</v>
      </c>
      <c r="D236" s="146" t="s">
        <v>550</v>
      </c>
      <c r="E236" s="254">
        <f>Таблица19[[#This Row],[Грунт]]+Таблица19[[#This Row],[Щебень]]+Таблица19[[#This Row],[Асфальт]]+Таблица19[[#This Row],[Бетон]]</f>
        <v>7.5</v>
      </c>
      <c r="F236" s="243">
        <v>6.85</v>
      </c>
      <c r="G236" s="140"/>
      <c r="H236" s="249">
        <v>0.65</v>
      </c>
      <c r="I236" s="139"/>
      <c r="J236" s="232"/>
      <c r="K236" s="233"/>
      <c r="N236" s="234" t="b">
        <f>OR(Таблица19[[#This Row],[Щебень]]&gt;0,Таблица19[[#This Row],[Асфальт]]&gt;0,Таблица19[[#This Row],[Бетон]]&gt;0)</f>
        <v>1</v>
      </c>
      <c r="Q236" s="234">
        <v>234</v>
      </c>
      <c r="S236" s="235"/>
      <c r="T236" s="235"/>
    </row>
    <row r="237" spans="1:20" s="234" customFormat="1" ht="46.5" x14ac:dyDescent="0.35">
      <c r="A237" s="146">
        <v>236</v>
      </c>
      <c r="B237" s="146" t="s">
        <v>451</v>
      </c>
      <c r="C237" s="146" t="s">
        <v>452</v>
      </c>
      <c r="D237" s="146" t="s">
        <v>550</v>
      </c>
      <c r="E237" s="254">
        <f>Таблица19[[#This Row],[Грунт]]+Таблица19[[#This Row],[Щебень]]+Таблица19[[#This Row],[Асфальт]]+Таблица19[[#This Row],[Бетон]]</f>
        <v>1.65</v>
      </c>
      <c r="F237" s="243">
        <v>1.65</v>
      </c>
      <c r="G237" s="140"/>
      <c r="H237" s="249"/>
      <c r="I237" s="139"/>
      <c r="J237" s="232"/>
      <c r="N237" s="234" t="b">
        <f>OR(Таблица19[[#This Row],[Щебень]]&gt;0,Таблица19[[#This Row],[Асфальт]]&gt;0,Таблица19[[#This Row],[Бетон]]&gt;0)</f>
        <v>0</v>
      </c>
      <c r="Q237" s="234">
        <v>235</v>
      </c>
      <c r="S237" s="235"/>
      <c r="T237" s="235"/>
    </row>
    <row r="238" spans="1:20" s="234" customFormat="1" ht="46.5" x14ac:dyDescent="0.35">
      <c r="A238" s="146">
        <v>237</v>
      </c>
      <c r="B238" s="146" t="s">
        <v>453</v>
      </c>
      <c r="C238" s="146" t="s">
        <v>454</v>
      </c>
      <c r="D238" s="146" t="s">
        <v>550</v>
      </c>
      <c r="E238" s="254">
        <f>Таблица19[[#This Row],[Грунт]]+Таблица19[[#This Row],[Щебень]]+Таблица19[[#This Row],[Асфальт]]+Таблица19[[#This Row],[Бетон]]</f>
        <v>1.7</v>
      </c>
      <c r="F238" s="243"/>
      <c r="G238" s="140">
        <v>1.7</v>
      </c>
      <c r="H238" s="249"/>
      <c r="I238" s="139"/>
      <c r="J238" s="232"/>
      <c r="K238" s="233" t="s">
        <v>557</v>
      </c>
      <c r="N238" s="234" t="b">
        <f>OR(Таблица19[[#This Row],[Щебень]]&gt;0,Таблица19[[#This Row],[Асфальт]]&gt;0,Таблица19[[#This Row],[Бетон]]&gt;0)</f>
        <v>1</v>
      </c>
      <c r="O238" s="234">
        <v>1</v>
      </c>
      <c r="Q238" s="234">
        <v>236</v>
      </c>
      <c r="S238" s="235"/>
      <c r="T238" s="235"/>
    </row>
    <row r="239" spans="1:20" s="234" customFormat="1" ht="46.5" x14ac:dyDescent="0.35">
      <c r="A239" s="146">
        <v>238</v>
      </c>
      <c r="B239" s="146" t="s">
        <v>455</v>
      </c>
      <c r="C239" s="146" t="s">
        <v>456</v>
      </c>
      <c r="D239" s="146" t="s">
        <v>550</v>
      </c>
      <c r="E239" s="254">
        <f>Таблица19[[#This Row],[Грунт]]+Таблица19[[#This Row],[Щебень]]+Таблица19[[#This Row],[Асфальт]]+Таблица19[[#This Row],[Бетон]]</f>
        <v>1.25</v>
      </c>
      <c r="F239" s="243">
        <v>1.25</v>
      </c>
      <c r="G239" s="140"/>
      <c r="H239" s="249"/>
      <c r="I239" s="139"/>
      <c r="J239" s="232"/>
      <c r="N239" s="234" t="b">
        <f>OR(Таблица19[[#This Row],[Щебень]]&gt;0,Таблица19[[#This Row],[Асфальт]]&gt;0,Таблица19[[#This Row],[Бетон]]&gt;0)</f>
        <v>0</v>
      </c>
      <c r="Q239" s="234">
        <v>237</v>
      </c>
      <c r="S239" s="235"/>
      <c r="T239" s="235"/>
    </row>
    <row r="240" spans="1:20" s="234" customFormat="1" ht="46.5" x14ac:dyDescent="0.35">
      <c r="A240" s="146">
        <v>239</v>
      </c>
      <c r="B240" s="146" t="s">
        <v>457</v>
      </c>
      <c r="C240" s="146" t="s">
        <v>458</v>
      </c>
      <c r="D240" s="146" t="s">
        <v>551</v>
      </c>
      <c r="E240" s="254">
        <f>Таблица19[[#This Row],[Грунт]]+Таблица19[[#This Row],[Щебень]]+Таблица19[[#This Row],[Асфальт]]+Таблица19[[#This Row],[Бетон]]</f>
        <v>5.0999999999999996</v>
      </c>
      <c r="F240" s="243">
        <v>0.4</v>
      </c>
      <c r="G240" s="140">
        <v>3</v>
      </c>
      <c r="H240" s="249">
        <v>1.7</v>
      </c>
      <c r="I240" s="139"/>
      <c r="J240" s="232"/>
      <c r="K240" s="233" t="s">
        <v>557</v>
      </c>
      <c r="N240" s="234" t="b">
        <f>OR(Таблица19[[#This Row],[Щебень]]&gt;0,Таблица19[[#This Row],[Асфальт]]&gt;0,Таблица19[[#This Row],[Бетон]]&gt;0)</f>
        <v>1</v>
      </c>
      <c r="O240" s="234">
        <v>1</v>
      </c>
      <c r="Q240" s="234">
        <v>238</v>
      </c>
      <c r="S240" s="235"/>
      <c r="T240" s="235"/>
    </row>
    <row r="241" spans="1:20" s="234" customFormat="1" ht="46.5" x14ac:dyDescent="0.35">
      <c r="A241" s="146">
        <v>240</v>
      </c>
      <c r="B241" s="146" t="s">
        <v>459</v>
      </c>
      <c r="C241" s="146" t="s">
        <v>460</v>
      </c>
      <c r="D241" s="146" t="s">
        <v>551</v>
      </c>
      <c r="E241" s="254">
        <f>Таблица19[[#This Row],[Грунт]]+Таблица19[[#This Row],[Щебень]]+Таблица19[[#This Row],[Асфальт]]+Таблица19[[#This Row],[Бетон]]</f>
        <v>2.5</v>
      </c>
      <c r="F241" s="243">
        <v>1.8</v>
      </c>
      <c r="G241" s="140">
        <v>0.7</v>
      </c>
      <c r="H241" s="249"/>
      <c r="I241" s="139"/>
      <c r="J241" s="232"/>
      <c r="N241" s="234" t="b">
        <f>OR(Таблица19[[#This Row],[Щебень]]&gt;0,Таблица19[[#This Row],[Асфальт]]&gt;0,Таблица19[[#This Row],[Бетон]]&gt;0)</f>
        <v>1</v>
      </c>
      <c r="Q241" s="234">
        <v>239</v>
      </c>
      <c r="S241" s="235"/>
      <c r="T241" s="235"/>
    </row>
    <row r="242" spans="1:20" s="234" customFormat="1" ht="46.5" x14ac:dyDescent="0.35">
      <c r="A242" s="146">
        <v>241</v>
      </c>
      <c r="B242" s="146" t="s">
        <v>461</v>
      </c>
      <c r="C242" s="146" t="s">
        <v>462</v>
      </c>
      <c r="D242" s="146" t="s">
        <v>551</v>
      </c>
      <c r="E242" s="254">
        <f>Таблица19[[#This Row],[Грунт]]+Таблица19[[#This Row],[Щебень]]+Таблица19[[#This Row],[Асфальт]]+Таблица19[[#This Row],[Бетон]]</f>
        <v>0.7</v>
      </c>
      <c r="F242" s="243">
        <v>0.7</v>
      </c>
      <c r="G242" s="140"/>
      <c r="H242" s="249"/>
      <c r="I242" s="139"/>
      <c r="J242" s="232"/>
      <c r="N242" s="234" t="b">
        <f>OR(Таблица19[[#This Row],[Щебень]]&gt;0,Таблица19[[#This Row],[Асфальт]]&gt;0,Таблица19[[#This Row],[Бетон]]&gt;0)</f>
        <v>0</v>
      </c>
      <c r="Q242" s="234">
        <v>240</v>
      </c>
      <c r="S242" s="235"/>
      <c r="T242" s="235"/>
    </row>
    <row r="243" spans="1:20" s="234" customFormat="1" ht="46.5" x14ac:dyDescent="0.35">
      <c r="A243" s="146">
        <v>242</v>
      </c>
      <c r="B243" s="146" t="s">
        <v>463</v>
      </c>
      <c r="C243" s="146" t="s">
        <v>464</v>
      </c>
      <c r="D243" s="146" t="s">
        <v>551</v>
      </c>
      <c r="E243" s="254">
        <f>Таблица19[[#This Row],[Грунт]]+Таблица19[[#This Row],[Щебень]]+Таблица19[[#This Row],[Асфальт]]+Таблица19[[#This Row],[Бетон]]</f>
        <v>1.7</v>
      </c>
      <c r="F243" s="243">
        <v>1.7</v>
      </c>
      <c r="G243" s="140"/>
      <c r="H243" s="249"/>
      <c r="I243" s="139"/>
      <c r="J243" s="232"/>
      <c r="N243" s="234" t="b">
        <f>OR(Таблица19[[#This Row],[Щебень]]&gt;0,Таблица19[[#This Row],[Асфальт]]&gt;0,Таблица19[[#This Row],[Бетон]]&gt;0)</f>
        <v>0</v>
      </c>
      <c r="Q243" s="234">
        <v>241</v>
      </c>
      <c r="S243" s="235"/>
      <c r="T243" s="235"/>
    </row>
    <row r="244" spans="1:20" s="234" customFormat="1" ht="46.5" x14ac:dyDescent="0.35">
      <c r="A244" s="146">
        <v>243</v>
      </c>
      <c r="B244" s="146" t="s">
        <v>465</v>
      </c>
      <c r="C244" s="146" t="s">
        <v>466</v>
      </c>
      <c r="D244" s="146" t="s">
        <v>551</v>
      </c>
      <c r="E244" s="254">
        <f>Таблица19[[#This Row],[Грунт]]+Таблица19[[#This Row],[Щебень]]+Таблица19[[#This Row],[Асфальт]]+Таблица19[[#This Row],[Бетон]]</f>
        <v>2.5</v>
      </c>
      <c r="F244" s="243"/>
      <c r="G244" s="140">
        <v>2.5</v>
      </c>
      <c r="H244" s="249"/>
      <c r="I244" s="139"/>
      <c r="J244" s="232"/>
      <c r="K244" s="233" t="s">
        <v>557</v>
      </c>
      <c r="N244" s="234" t="b">
        <f>OR(Таблица19[[#This Row],[Щебень]]&gt;0,Таблица19[[#This Row],[Асфальт]]&gt;0,Таблица19[[#This Row],[Бетон]]&gt;0)</f>
        <v>1</v>
      </c>
      <c r="O244" s="234">
        <v>1</v>
      </c>
      <c r="Q244" s="234">
        <v>242</v>
      </c>
      <c r="S244" s="235"/>
      <c r="T244" s="235"/>
    </row>
    <row r="245" spans="1:20" s="234" customFormat="1" ht="46.5" x14ac:dyDescent="0.35">
      <c r="A245" s="146">
        <v>244</v>
      </c>
      <c r="B245" s="146" t="s">
        <v>467</v>
      </c>
      <c r="C245" s="146" t="s">
        <v>468</v>
      </c>
      <c r="D245" s="146" t="s">
        <v>551</v>
      </c>
      <c r="E245" s="254">
        <f>Таблица19[[#This Row],[Грунт]]+Таблица19[[#This Row],[Щебень]]+Таблица19[[#This Row],[Асфальт]]+Таблица19[[#This Row],[Бетон]]</f>
        <v>0.5</v>
      </c>
      <c r="F245" s="243">
        <v>0.5</v>
      </c>
      <c r="G245" s="140"/>
      <c r="H245" s="249"/>
      <c r="I245" s="139"/>
      <c r="J245" s="232"/>
      <c r="N245" s="234" t="b">
        <f>OR(Таблица19[[#This Row],[Щебень]]&gt;0,Таблица19[[#This Row],[Асфальт]]&gt;0,Таблица19[[#This Row],[Бетон]]&gt;0)</f>
        <v>0</v>
      </c>
      <c r="Q245" s="234">
        <v>243</v>
      </c>
      <c r="S245" s="235"/>
      <c r="T245" s="235"/>
    </row>
    <row r="246" spans="1:20" s="234" customFormat="1" ht="46.5" x14ac:dyDescent="0.35">
      <c r="A246" s="146">
        <v>245</v>
      </c>
      <c r="B246" s="146" t="s">
        <v>469</v>
      </c>
      <c r="C246" s="146" t="s">
        <v>470</v>
      </c>
      <c r="D246" s="146" t="s">
        <v>551</v>
      </c>
      <c r="E246" s="254">
        <f>Таблица19[[#This Row],[Грунт]]+Таблица19[[#This Row],[Щебень]]+Таблица19[[#This Row],[Асфальт]]+Таблица19[[#This Row],[Бетон]]</f>
        <v>0.6</v>
      </c>
      <c r="F246" s="243">
        <v>0.6</v>
      </c>
      <c r="G246" s="140"/>
      <c r="H246" s="249"/>
      <c r="I246" s="139"/>
      <c r="J246" s="232"/>
      <c r="N246" s="234" t="b">
        <f>OR(Таблица19[[#This Row],[Щебень]]&gt;0,Таблица19[[#This Row],[Асфальт]]&gt;0,Таблица19[[#This Row],[Бетон]]&gt;0)</f>
        <v>0</v>
      </c>
      <c r="Q246" s="234">
        <v>244</v>
      </c>
      <c r="S246" s="235"/>
      <c r="T246" s="235"/>
    </row>
    <row r="247" spans="1:20" s="234" customFormat="1" ht="46.5" x14ac:dyDescent="0.35">
      <c r="A247" s="146">
        <v>246</v>
      </c>
      <c r="B247" s="146" t="s">
        <v>471</v>
      </c>
      <c r="C247" s="146" t="s">
        <v>472</v>
      </c>
      <c r="D247" s="146" t="s">
        <v>551</v>
      </c>
      <c r="E247" s="254">
        <f>Таблица19[[#This Row],[Грунт]]+Таблица19[[#This Row],[Щебень]]+Таблица19[[#This Row],[Асфальт]]+Таблица19[[#This Row],[Бетон]]</f>
        <v>0.82</v>
      </c>
      <c r="F247" s="243"/>
      <c r="G247" s="140"/>
      <c r="H247" s="249">
        <v>0.82</v>
      </c>
      <c r="I247" s="139"/>
      <c r="J247" s="232"/>
      <c r="N247" s="234" t="b">
        <f>OR(Таблица19[[#This Row],[Щебень]]&gt;0,Таблица19[[#This Row],[Асфальт]]&gt;0,Таблица19[[#This Row],[Бетон]]&gt;0)</f>
        <v>1</v>
      </c>
      <c r="O247" s="234">
        <v>1</v>
      </c>
      <c r="Q247" s="234">
        <v>245</v>
      </c>
      <c r="S247" s="235"/>
      <c r="T247" s="235"/>
    </row>
    <row r="248" spans="1:20" s="234" customFormat="1" ht="46.5" x14ac:dyDescent="0.35">
      <c r="A248" s="146">
        <v>247</v>
      </c>
      <c r="B248" s="146" t="s">
        <v>473</v>
      </c>
      <c r="C248" s="146" t="s">
        <v>474</v>
      </c>
      <c r="D248" s="146" t="s">
        <v>552</v>
      </c>
      <c r="E248" s="254">
        <f>Таблица19[[#This Row],[Грунт]]+Таблица19[[#This Row],[Щебень]]+Таблица19[[#This Row],[Асфальт]]+Таблица19[[#This Row],[Бетон]]</f>
        <v>1.3</v>
      </c>
      <c r="F248" s="243"/>
      <c r="G248" s="140"/>
      <c r="H248" s="249">
        <v>1.3</v>
      </c>
      <c r="I248" s="139"/>
      <c r="J248" s="232"/>
      <c r="N248" s="234" t="b">
        <f>OR(Таблица19[[#This Row],[Щебень]]&gt;0,Таблица19[[#This Row],[Асфальт]]&gt;0,Таблица19[[#This Row],[Бетон]]&gt;0)</f>
        <v>1</v>
      </c>
      <c r="O248" s="234">
        <v>1</v>
      </c>
      <c r="Q248" s="234">
        <v>246</v>
      </c>
      <c r="S248" s="235"/>
      <c r="T248" s="235"/>
    </row>
    <row r="249" spans="1:20" s="234" customFormat="1" ht="46.5" x14ac:dyDescent="0.35">
      <c r="A249" s="146">
        <v>248</v>
      </c>
      <c r="B249" s="146" t="s">
        <v>475</v>
      </c>
      <c r="C249" s="146" t="s">
        <v>476</v>
      </c>
      <c r="D249" s="146" t="s">
        <v>552</v>
      </c>
      <c r="E249" s="254">
        <f>Таблица19[[#This Row],[Грунт]]+Таблица19[[#This Row],[Щебень]]+Таблица19[[#This Row],[Асфальт]]+Таблица19[[#This Row],[Бетон]]</f>
        <v>0.8</v>
      </c>
      <c r="F249" s="243"/>
      <c r="G249" s="140"/>
      <c r="H249" s="249">
        <v>0.8</v>
      </c>
      <c r="I249" s="139"/>
      <c r="J249" s="232"/>
      <c r="N249" s="234" t="b">
        <f>OR(Таблица19[[#This Row],[Щебень]]&gt;0,Таблица19[[#This Row],[Асфальт]]&gt;0,Таблица19[[#This Row],[Бетон]]&gt;0)</f>
        <v>1</v>
      </c>
      <c r="O249" s="234">
        <v>1</v>
      </c>
      <c r="Q249" s="234">
        <v>247</v>
      </c>
      <c r="S249" s="235"/>
      <c r="T249" s="235"/>
    </row>
    <row r="250" spans="1:20" s="234" customFormat="1" ht="46.5" x14ac:dyDescent="0.35">
      <c r="A250" s="146">
        <v>249</v>
      </c>
      <c r="B250" s="146" t="s">
        <v>477</v>
      </c>
      <c r="C250" s="146" t="s">
        <v>478</v>
      </c>
      <c r="D250" s="146" t="s">
        <v>552</v>
      </c>
      <c r="E250" s="254">
        <f>Таблица19[[#This Row],[Грунт]]+Таблица19[[#This Row],[Щебень]]+Таблица19[[#This Row],[Асфальт]]+Таблица19[[#This Row],[Бетон]]</f>
        <v>1.6</v>
      </c>
      <c r="F250" s="243"/>
      <c r="G250" s="140"/>
      <c r="H250" s="249">
        <v>1.6</v>
      </c>
      <c r="I250" s="139"/>
      <c r="J250" s="232"/>
      <c r="K250" s="233" t="s">
        <v>557</v>
      </c>
      <c r="N250" s="234" t="b">
        <f>OR(Таблица19[[#This Row],[Щебень]]&gt;0,Таблица19[[#This Row],[Асфальт]]&gt;0,Таблица19[[#This Row],[Бетон]]&gt;0)</f>
        <v>1</v>
      </c>
      <c r="O250" s="234">
        <v>1</v>
      </c>
      <c r="Q250" s="234">
        <v>248</v>
      </c>
      <c r="S250" s="235"/>
      <c r="T250" s="235"/>
    </row>
    <row r="251" spans="1:20" s="234" customFormat="1" ht="46.5" x14ac:dyDescent="0.35">
      <c r="A251" s="146">
        <v>250</v>
      </c>
      <c r="B251" s="146" t="s">
        <v>479</v>
      </c>
      <c r="C251" s="146" t="s">
        <v>480</v>
      </c>
      <c r="D251" s="146" t="s">
        <v>552</v>
      </c>
      <c r="E251" s="254">
        <f>Таблица19[[#This Row],[Грунт]]+Таблица19[[#This Row],[Щебень]]+Таблица19[[#This Row],[Асфальт]]+Таблица19[[#This Row],[Бетон]]</f>
        <v>1.4</v>
      </c>
      <c r="F251" s="243"/>
      <c r="G251" s="140"/>
      <c r="H251" s="249">
        <v>1.4</v>
      </c>
      <c r="I251" s="139"/>
      <c r="J251" s="232"/>
      <c r="N251" s="234" t="b">
        <f>OR(Таблица19[[#This Row],[Щебень]]&gt;0,Таблица19[[#This Row],[Асфальт]]&gt;0,Таблица19[[#This Row],[Бетон]]&gt;0)</f>
        <v>1</v>
      </c>
      <c r="O251" s="234">
        <v>1</v>
      </c>
      <c r="Q251" s="234">
        <v>249</v>
      </c>
      <c r="S251" s="235"/>
      <c r="T251" s="235"/>
    </row>
    <row r="252" spans="1:20" s="234" customFormat="1" ht="46.5" x14ac:dyDescent="0.35">
      <c r="A252" s="146">
        <v>251</v>
      </c>
      <c r="B252" s="146" t="s">
        <v>481</v>
      </c>
      <c r="C252" s="146" t="s">
        <v>482</v>
      </c>
      <c r="D252" s="146" t="s">
        <v>552</v>
      </c>
      <c r="E252" s="254">
        <f>Таблица19[[#This Row],[Грунт]]+Таблица19[[#This Row],[Щебень]]+Таблица19[[#This Row],[Асфальт]]+Таблица19[[#This Row],[Бетон]]</f>
        <v>0.3</v>
      </c>
      <c r="F252" s="243"/>
      <c r="G252" s="140"/>
      <c r="H252" s="249">
        <v>0.3</v>
      </c>
      <c r="I252" s="139"/>
      <c r="J252" s="232"/>
      <c r="N252" s="234" t="b">
        <f>OR(Таблица19[[#This Row],[Щебень]]&gt;0,Таблица19[[#This Row],[Асфальт]]&gt;0,Таблица19[[#This Row],[Бетон]]&gt;0)</f>
        <v>1</v>
      </c>
      <c r="O252" s="234">
        <v>1</v>
      </c>
      <c r="Q252" s="234">
        <v>250</v>
      </c>
      <c r="S252" s="235"/>
      <c r="T252" s="235"/>
    </row>
    <row r="253" spans="1:20" s="234" customFormat="1" ht="46.5" x14ac:dyDescent="0.35">
      <c r="A253" s="146">
        <v>252</v>
      </c>
      <c r="B253" s="146" t="s">
        <v>483</v>
      </c>
      <c r="C253" s="146" t="s">
        <v>484</v>
      </c>
      <c r="D253" s="146" t="s">
        <v>552</v>
      </c>
      <c r="E253" s="254">
        <f>Таблица19[[#This Row],[Грунт]]+Таблица19[[#This Row],[Щебень]]+Таблица19[[#This Row],[Асфальт]]+Таблица19[[#This Row],[Бетон]]</f>
        <v>1.9</v>
      </c>
      <c r="F253" s="243">
        <v>0</v>
      </c>
      <c r="G253" s="140">
        <v>0</v>
      </c>
      <c r="H253" s="249">
        <v>1.9</v>
      </c>
      <c r="I253" s="139"/>
      <c r="J253" s="232"/>
      <c r="N253" s="234" t="b">
        <f>OR(Таблица19[[#This Row],[Щебень]]&gt;0,Таблица19[[#This Row],[Асфальт]]&gt;0,Таблица19[[#This Row],[Бетон]]&gt;0)</f>
        <v>1</v>
      </c>
      <c r="O253" s="234">
        <v>1</v>
      </c>
      <c r="Q253" s="234">
        <v>251</v>
      </c>
      <c r="S253" s="235"/>
      <c r="T253" s="235"/>
    </row>
    <row r="254" spans="1:20" s="234" customFormat="1" ht="46.5" x14ac:dyDescent="0.35">
      <c r="A254" s="146">
        <v>253</v>
      </c>
      <c r="B254" s="146" t="s">
        <v>485</v>
      </c>
      <c r="C254" s="146" t="s">
        <v>486</v>
      </c>
      <c r="D254" s="146" t="s">
        <v>552</v>
      </c>
      <c r="E254" s="254">
        <f>Таблица19[[#This Row],[Грунт]]+Таблица19[[#This Row],[Щебень]]+Таблица19[[#This Row],[Асфальт]]+Таблица19[[#This Row],[Бетон]]</f>
        <v>0.9</v>
      </c>
      <c r="F254" s="243"/>
      <c r="G254" s="140">
        <v>0</v>
      </c>
      <c r="H254" s="249">
        <v>0.9</v>
      </c>
      <c r="I254" s="139"/>
      <c r="J254" s="232"/>
      <c r="N254" s="234" t="b">
        <f>OR(Таблица19[[#This Row],[Щебень]]&gt;0,Таблица19[[#This Row],[Асфальт]]&gt;0,Таблица19[[#This Row],[Бетон]]&gt;0)</f>
        <v>1</v>
      </c>
      <c r="O254" s="234">
        <v>1</v>
      </c>
      <c r="Q254" s="234">
        <v>252</v>
      </c>
      <c r="S254" s="235"/>
      <c r="T254" s="235"/>
    </row>
    <row r="255" spans="1:20" s="234" customFormat="1" ht="46.5" x14ac:dyDescent="0.35">
      <c r="A255" s="146">
        <v>254</v>
      </c>
      <c r="B255" s="146" t="s">
        <v>487</v>
      </c>
      <c r="C255" s="146" t="s">
        <v>488</v>
      </c>
      <c r="D255" s="146" t="s">
        <v>552</v>
      </c>
      <c r="E255" s="254">
        <f>Таблица19[[#This Row],[Грунт]]+Таблица19[[#This Row],[Щебень]]+Таблица19[[#This Row],[Асфальт]]+Таблица19[[#This Row],[Бетон]]</f>
        <v>2</v>
      </c>
      <c r="F255" s="243"/>
      <c r="G255" s="140"/>
      <c r="H255" s="249">
        <v>2</v>
      </c>
      <c r="I255" s="139"/>
      <c r="J255" s="232"/>
      <c r="K255" s="233" t="s">
        <v>557</v>
      </c>
      <c r="N255" s="234" t="b">
        <f>OR(Таблица19[[#This Row],[Щебень]]&gt;0,Таблица19[[#This Row],[Асфальт]]&gt;0,Таблица19[[#This Row],[Бетон]]&gt;0)</f>
        <v>1</v>
      </c>
      <c r="O255" s="234">
        <v>1</v>
      </c>
      <c r="Q255" s="234">
        <v>253</v>
      </c>
      <c r="S255" s="235"/>
      <c r="T255" s="235"/>
    </row>
    <row r="256" spans="1:20" s="234" customFormat="1" ht="46.5" x14ac:dyDescent="0.35">
      <c r="A256" s="146">
        <v>255</v>
      </c>
      <c r="B256" s="146" t="s">
        <v>489</v>
      </c>
      <c r="C256" s="146" t="s">
        <v>490</v>
      </c>
      <c r="D256" s="146" t="s">
        <v>552</v>
      </c>
      <c r="E256" s="254">
        <f>Таблица19[[#This Row],[Грунт]]+Таблица19[[#This Row],[Щебень]]+Таблица19[[#This Row],[Асфальт]]+Таблица19[[#This Row],[Бетон]]</f>
        <v>0.6</v>
      </c>
      <c r="F256" s="243"/>
      <c r="G256" s="140">
        <v>0</v>
      </c>
      <c r="H256" s="249">
        <v>0.6</v>
      </c>
      <c r="I256" s="139"/>
      <c r="J256" s="232"/>
      <c r="K256" s="234" t="s">
        <v>558</v>
      </c>
      <c r="N256" s="234" t="b">
        <f>OR(Таблица19[[#This Row],[Щебень]]&gt;0,Таблица19[[#This Row],[Асфальт]]&gt;0,Таблица19[[#This Row],[Бетон]]&gt;0)</f>
        <v>1</v>
      </c>
      <c r="O256" s="234">
        <v>1</v>
      </c>
      <c r="Q256" s="234">
        <v>254</v>
      </c>
      <c r="S256" s="235"/>
      <c r="T256" s="235"/>
    </row>
    <row r="257" spans="1:20" s="234" customFormat="1" ht="46.5" x14ac:dyDescent="0.35">
      <c r="A257" s="146">
        <v>256</v>
      </c>
      <c r="B257" s="146" t="s">
        <v>491</v>
      </c>
      <c r="C257" s="146" t="s">
        <v>492</v>
      </c>
      <c r="D257" s="146" t="s">
        <v>552</v>
      </c>
      <c r="E257" s="254">
        <f>Таблица19[[#This Row],[Грунт]]+Таблица19[[#This Row],[Щебень]]+Таблица19[[#This Row],[Асфальт]]+Таблица19[[#This Row],[Бетон]]</f>
        <v>0.6</v>
      </c>
      <c r="F257" s="243"/>
      <c r="G257" s="140"/>
      <c r="H257" s="249">
        <v>0.6</v>
      </c>
      <c r="I257" s="139"/>
      <c r="J257" s="232"/>
      <c r="N257" s="234" t="b">
        <f>OR(Таблица19[[#This Row],[Щебень]]&gt;0,Таблица19[[#This Row],[Асфальт]]&gt;0,Таблица19[[#This Row],[Бетон]]&gt;0)</f>
        <v>1</v>
      </c>
      <c r="O257" s="234">
        <v>1</v>
      </c>
      <c r="Q257" s="234">
        <v>255</v>
      </c>
      <c r="S257" s="235"/>
      <c r="T257" s="235"/>
    </row>
    <row r="258" spans="1:20" s="234" customFormat="1" ht="46.5" x14ac:dyDescent="0.35">
      <c r="A258" s="146">
        <v>257</v>
      </c>
      <c r="B258" s="146" t="s">
        <v>493</v>
      </c>
      <c r="C258" s="146" t="s">
        <v>494</v>
      </c>
      <c r="D258" s="146" t="s">
        <v>552</v>
      </c>
      <c r="E258" s="254">
        <f>Таблица19[[#This Row],[Грунт]]+Таблица19[[#This Row],[Щебень]]+Таблица19[[#This Row],[Асфальт]]+Таблица19[[#This Row],[Бетон]]</f>
        <v>1.2</v>
      </c>
      <c r="F258" s="243"/>
      <c r="G258" s="140"/>
      <c r="H258" s="249">
        <v>1.2</v>
      </c>
      <c r="I258" s="139"/>
      <c r="J258" s="232"/>
      <c r="N258" s="234" t="b">
        <f>OR(Таблица19[[#This Row],[Щебень]]&gt;0,Таблица19[[#This Row],[Асфальт]]&gt;0,Таблица19[[#This Row],[Бетон]]&gt;0)</f>
        <v>1</v>
      </c>
      <c r="O258" s="234">
        <v>1</v>
      </c>
      <c r="Q258" s="234">
        <v>256</v>
      </c>
      <c r="S258" s="235"/>
      <c r="T258" s="235"/>
    </row>
    <row r="259" spans="1:20" s="234" customFormat="1" ht="46.5" x14ac:dyDescent="0.35">
      <c r="A259" s="146">
        <v>258</v>
      </c>
      <c r="B259" s="146" t="s">
        <v>495</v>
      </c>
      <c r="C259" s="146" t="s">
        <v>496</v>
      </c>
      <c r="D259" s="146" t="s">
        <v>552</v>
      </c>
      <c r="E259" s="254">
        <f>Таблица19[[#This Row],[Грунт]]+Таблица19[[#This Row],[Щебень]]+Таблица19[[#This Row],[Асфальт]]+Таблица19[[#This Row],[Бетон]]</f>
        <v>0.77</v>
      </c>
      <c r="F259" s="243"/>
      <c r="G259" s="140"/>
      <c r="H259" s="249">
        <v>0.77</v>
      </c>
      <c r="I259" s="139"/>
      <c r="J259" s="232"/>
      <c r="N259" s="234" t="b">
        <f>OR(Таблица19[[#This Row],[Щебень]]&gt;0,Таблица19[[#This Row],[Асфальт]]&gt;0,Таблица19[[#This Row],[Бетон]]&gt;0)</f>
        <v>1</v>
      </c>
      <c r="O259" s="234">
        <v>1</v>
      </c>
      <c r="Q259" s="234">
        <v>257</v>
      </c>
      <c r="S259" s="235"/>
      <c r="T259" s="235"/>
    </row>
    <row r="260" spans="1:20" s="234" customFormat="1" ht="46.5" x14ac:dyDescent="0.35">
      <c r="A260" s="146">
        <v>259</v>
      </c>
      <c r="B260" s="146" t="s">
        <v>497</v>
      </c>
      <c r="C260" s="146" t="s">
        <v>498</v>
      </c>
      <c r="D260" s="146" t="s">
        <v>552</v>
      </c>
      <c r="E260" s="254">
        <f>Таблица19[[#This Row],[Грунт]]+Таблица19[[#This Row],[Щебень]]+Таблица19[[#This Row],[Асфальт]]+Таблица19[[#This Row],[Бетон]]</f>
        <v>0.6</v>
      </c>
      <c r="F260" s="243"/>
      <c r="G260" s="140"/>
      <c r="H260" s="249">
        <v>0.6</v>
      </c>
      <c r="I260" s="139"/>
      <c r="J260" s="232"/>
      <c r="N260" s="234" t="b">
        <f>OR(Таблица19[[#This Row],[Щебень]]&gt;0,Таблица19[[#This Row],[Асфальт]]&gt;0,Таблица19[[#This Row],[Бетон]]&gt;0)</f>
        <v>1</v>
      </c>
      <c r="O260" s="234">
        <v>1</v>
      </c>
      <c r="P260" s="234">
        <f>0.6-Таблица19[[#This Row],[Протяженность(км)]]</f>
        <v>0</v>
      </c>
      <c r="Q260" s="234">
        <v>258</v>
      </c>
      <c r="S260" s="235"/>
      <c r="T260" s="235"/>
    </row>
    <row r="261" spans="1:20" s="234" customFormat="1" ht="46.5" x14ac:dyDescent="0.35">
      <c r="A261" s="146">
        <v>260</v>
      </c>
      <c r="B261" s="146" t="s">
        <v>499</v>
      </c>
      <c r="C261" s="146" t="s">
        <v>500</v>
      </c>
      <c r="D261" s="146" t="s">
        <v>552</v>
      </c>
      <c r="E261" s="254">
        <f>Таблица19[[#This Row],[Грунт]]+Таблица19[[#This Row],[Щебень]]+Таблица19[[#This Row],[Асфальт]]+Таблица19[[#This Row],[Бетон]]</f>
        <v>0.499</v>
      </c>
      <c r="F261" s="243"/>
      <c r="G261" s="140">
        <v>0</v>
      </c>
      <c r="H261" s="249">
        <v>0.499</v>
      </c>
      <c r="I261" s="139"/>
      <c r="J261" s="232"/>
      <c r="N261" s="234" t="b">
        <f>OR(Таблица19[[#This Row],[Щебень]]&gt;0,Таблица19[[#This Row],[Асфальт]]&gt;0,Таблица19[[#This Row],[Бетон]]&gt;0)</f>
        <v>1</v>
      </c>
      <c r="O261" s="234">
        <v>1</v>
      </c>
      <c r="Q261" s="234">
        <v>259</v>
      </c>
      <c r="S261" s="235"/>
      <c r="T261" s="235"/>
    </row>
    <row r="262" spans="1:20" s="234" customFormat="1" ht="46.5" x14ac:dyDescent="0.35">
      <c r="A262" s="146">
        <v>261</v>
      </c>
      <c r="B262" s="146" t="s">
        <v>501</v>
      </c>
      <c r="C262" s="146" t="s">
        <v>502</v>
      </c>
      <c r="D262" s="146" t="s">
        <v>552</v>
      </c>
      <c r="E262" s="254">
        <f>Таблица19[[#This Row],[Грунт]]+Таблица19[[#This Row],[Щебень]]+Таблица19[[#This Row],[Асфальт]]+Таблица19[[#This Row],[Бетон]]</f>
        <v>0.66700000000000004</v>
      </c>
      <c r="F262" s="243"/>
      <c r="G262" s="140">
        <v>0</v>
      </c>
      <c r="H262" s="249">
        <v>0.66700000000000004</v>
      </c>
      <c r="I262" s="139"/>
      <c r="J262" s="232"/>
      <c r="N262" s="234" t="b">
        <f>OR(Таблица19[[#This Row],[Щебень]]&gt;0,Таблица19[[#This Row],[Асфальт]]&gt;0,Таблица19[[#This Row],[Бетон]]&gt;0)</f>
        <v>1</v>
      </c>
      <c r="O262" s="234">
        <v>1</v>
      </c>
      <c r="Q262" s="234">
        <v>260</v>
      </c>
      <c r="S262" s="235"/>
      <c r="T262" s="235"/>
    </row>
    <row r="263" spans="1:20" s="234" customFormat="1" ht="46.5" x14ac:dyDescent="0.35">
      <c r="A263" s="146">
        <v>262</v>
      </c>
      <c r="B263" s="146" t="s">
        <v>503</v>
      </c>
      <c r="C263" s="146" t="s">
        <v>504</v>
      </c>
      <c r="D263" s="146" t="s">
        <v>552</v>
      </c>
      <c r="E263" s="254">
        <f>Таблица19[[#This Row],[Грунт]]+Таблица19[[#This Row],[Щебень]]+Таблица19[[#This Row],[Асфальт]]+Таблица19[[#This Row],[Бетон]]</f>
        <v>0.7</v>
      </c>
      <c r="F263" s="243"/>
      <c r="G263" s="140">
        <v>0.7</v>
      </c>
      <c r="H263" s="249"/>
      <c r="I263" s="139"/>
      <c r="J263" s="232"/>
      <c r="N263" s="234" t="b">
        <f>OR(Таблица19[[#This Row],[Щебень]]&gt;0,Таблица19[[#This Row],[Асфальт]]&gt;0,Таблица19[[#This Row],[Бетон]]&gt;0)</f>
        <v>1</v>
      </c>
      <c r="O263" s="234">
        <v>1</v>
      </c>
      <c r="Q263" s="234">
        <v>261</v>
      </c>
      <c r="S263" s="235"/>
      <c r="T263" s="235"/>
    </row>
    <row r="264" spans="1:20" s="234" customFormat="1" ht="46.5" x14ac:dyDescent="0.35">
      <c r="A264" s="146">
        <v>263</v>
      </c>
      <c r="B264" s="146" t="s">
        <v>505</v>
      </c>
      <c r="C264" s="146" t="s">
        <v>506</v>
      </c>
      <c r="D264" s="146" t="s">
        <v>552</v>
      </c>
      <c r="E264" s="254">
        <f>Таблица19[[#This Row],[Грунт]]+Таблица19[[#This Row],[Щебень]]+Таблица19[[#This Row],[Асфальт]]+Таблица19[[#This Row],[Бетон]]</f>
        <v>0.7</v>
      </c>
      <c r="F264" s="243"/>
      <c r="G264" s="140"/>
      <c r="H264" s="249">
        <v>0.7</v>
      </c>
      <c r="I264" s="139"/>
      <c r="J264" s="232"/>
      <c r="N264" s="234" t="b">
        <f>OR(Таблица19[[#This Row],[Щебень]]&gt;0,Таблица19[[#This Row],[Асфальт]]&gt;0,Таблица19[[#This Row],[Бетон]]&gt;0)</f>
        <v>1</v>
      </c>
      <c r="O264" s="234">
        <v>1</v>
      </c>
      <c r="Q264" s="234">
        <v>262</v>
      </c>
      <c r="S264" s="235"/>
      <c r="T264" s="235"/>
    </row>
    <row r="265" spans="1:20" s="234" customFormat="1" ht="46.5" x14ac:dyDescent="0.35">
      <c r="A265" s="146">
        <v>264</v>
      </c>
      <c r="B265" s="146" t="s">
        <v>507</v>
      </c>
      <c r="C265" s="146" t="s">
        <v>508</v>
      </c>
      <c r="D265" s="146" t="s">
        <v>552</v>
      </c>
      <c r="E265" s="254">
        <f>Таблица19[[#This Row],[Грунт]]+Таблица19[[#This Row],[Щебень]]+Таблица19[[#This Row],[Асфальт]]+Таблица19[[#This Row],[Бетон]]</f>
        <v>0.98599999999999999</v>
      </c>
      <c r="F265" s="243"/>
      <c r="G265" s="247"/>
      <c r="H265" s="249">
        <v>0.98599999999999999</v>
      </c>
      <c r="I265" s="139"/>
      <c r="J265" s="232"/>
      <c r="N265" s="234" t="b">
        <f>OR(Таблица19[[#This Row],[Щебень]]&gt;0,Таблица19[[#This Row],[Асфальт]]&gt;0,Таблица19[[#This Row],[Бетон]]&gt;0)</f>
        <v>1</v>
      </c>
      <c r="O265" s="234">
        <v>1</v>
      </c>
      <c r="Q265" s="234">
        <v>263</v>
      </c>
      <c r="S265" s="235"/>
      <c r="T265" s="235"/>
    </row>
    <row r="266" spans="1:20" s="234" customFormat="1" ht="46.5" x14ac:dyDescent="0.35">
      <c r="A266" s="146">
        <v>265</v>
      </c>
      <c r="B266" s="146" t="s">
        <v>509</v>
      </c>
      <c r="C266" s="146" t="s">
        <v>510</v>
      </c>
      <c r="D266" s="146" t="s">
        <v>552</v>
      </c>
      <c r="E266" s="254">
        <f>Таблица19[[#This Row],[Грунт]]+Таблица19[[#This Row],[Щебень]]+Таблица19[[#This Row],[Асфальт]]+Таблица19[[#This Row],[Бетон]]</f>
        <v>0.8</v>
      </c>
      <c r="F266" s="243">
        <v>0.8</v>
      </c>
      <c r="G266" s="140"/>
      <c r="H266" s="249"/>
      <c r="I266" s="139"/>
      <c r="J266" s="232"/>
      <c r="N266" s="234" t="b">
        <f>OR(Таблица19[[#This Row],[Щебень]]&gt;0,Таблица19[[#This Row],[Асфальт]]&gt;0,Таблица19[[#This Row],[Бетон]]&gt;0)</f>
        <v>0</v>
      </c>
      <c r="Q266" s="234">
        <v>264</v>
      </c>
      <c r="S266" s="235"/>
      <c r="T266" s="235"/>
    </row>
    <row r="267" spans="1:20" s="234" customFormat="1" ht="46.5" x14ac:dyDescent="0.35">
      <c r="A267" s="146">
        <v>266</v>
      </c>
      <c r="B267" s="146" t="s">
        <v>511</v>
      </c>
      <c r="C267" s="146" t="s">
        <v>512</v>
      </c>
      <c r="D267" s="146" t="s">
        <v>552</v>
      </c>
      <c r="E267" s="254">
        <f>Таблица19[[#This Row],[Грунт]]+Таблица19[[#This Row],[Щебень]]+Таблица19[[#This Row],[Асфальт]]+Таблица19[[#This Row],[Бетон]]</f>
        <v>1.4</v>
      </c>
      <c r="F267" s="243"/>
      <c r="G267" s="140">
        <v>1.4</v>
      </c>
      <c r="H267" s="249"/>
      <c r="I267" s="139"/>
      <c r="J267" s="232"/>
      <c r="N267" s="234" t="b">
        <f>OR(Таблица19[[#This Row],[Щебень]]&gt;0,Таблица19[[#This Row],[Асфальт]]&gt;0,Таблица19[[#This Row],[Бетон]]&gt;0)</f>
        <v>1</v>
      </c>
      <c r="O267" s="234">
        <v>1</v>
      </c>
      <c r="Q267" s="234">
        <v>265</v>
      </c>
      <c r="S267" s="235"/>
      <c r="T267" s="235"/>
    </row>
    <row r="268" spans="1:20" s="234" customFormat="1" ht="46.5" x14ac:dyDescent="0.35">
      <c r="A268" s="146">
        <v>267</v>
      </c>
      <c r="B268" s="146" t="s">
        <v>513</v>
      </c>
      <c r="C268" s="146" t="s">
        <v>514</v>
      </c>
      <c r="D268" s="146" t="s">
        <v>552</v>
      </c>
      <c r="E268" s="254">
        <f>Таблица19[[#This Row],[Грунт]]+Таблица19[[#This Row],[Щебень]]+Таблица19[[#This Row],[Асфальт]]+Таблица19[[#This Row],[Бетон]]</f>
        <v>1</v>
      </c>
      <c r="F268" s="243"/>
      <c r="G268" s="140">
        <v>1</v>
      </c>
      <c r="H268" s="249"/>
      <c r="I268" s="139"/>
      <c r="J268" s="232"/>
      <c r="N268" s="234" t="b">
        <f>OR(Таблица19[[#This Row],[Щебень]]&gt;0,Таблица19[[#This Row],[Асфальт]]&gt;0,Таблица19[[#This Row],[Бетон]]&gt;0)</f>
        <v>1</v>
      </c>
      <c r="O268" s="234">
        <v>1</v>
      </c>
      <c r="Q268" s="234">
        <v>266</v>
      </c>
      <c r="S268" s="235"/>
      <c r="T268" s="235"/>
    </row>
    <row r="269" spans="1:20" s="234" customFormat="1" ht="46.5" x14ac:dyDescent="0.35">
      <c r="A269" s="146">
        <v>268</v>
      </c>
      <c r="B269" s="146" t="s">
        <v>515</v>
      </c>
      <c r="C269" s="146" t="s">
        <v>516</v>
      </c>
      <c r="D269" s="146" t="s">
        <v>552</v>
      </c>
      <c r="E269" s="254">
        <f>Таблица19[[#This Row],[Грунт]]+Таблица19[[#This Row],[Щебень]]+Таблица19[[#This Row],[Асфальт]]+Таблица19[[#This Row],[Бетон]]</f>
        <v>0.75</v>
      </c>
      <c r="F269" s="243"/>
      <c r="G269" s="140"/>
      <c r="H269" s="249">
        <v>0.75</v>
      </c>
      <c r="I269" s="139"/>
      <c r="J269" s="232"/>
      <c r="K269" s="234" t="s">
        <v>558</v>
      </c>
      <c r="N269" s="234" t="b">
        <f>OR(Таблица19[[#This Row],[Щебень]]&gt;0,Таблица19[[#This Row],[Асфальт]]&gt;0,Таблица19[[#This Row],[Бетон]]&gt;0)</f>
        <v>1</v>
      </c>
      <c r="O269" s="234">
        <v>1</v>
      </c>
      <c r="Q269" s="234">
        <v>267</v>
      </c>
      <c r="S269" s="235"/>
      <c r="T269" s="235"/>
    </row>
    <row r="270" spans="1:20" s="234" customFormat="1" ht="46.5" x14ac:dyDescent="0.35">
      <c r="A270" s="146">
        <v>269</v>
      </c>
      <c r="B270" s="146" t="s">
        <v>517</v>
      </c>
      <c r="C270" s="146" t="s">
        <v>518</v>
      </c>
      <c r="D270" s="146" t="s">
        <v>552</v>
      </c>
      <c r="E270" s="254">
        <f>Таблица19[[#This Row],[Грунт]]+Таблица19[[#This Row],[Щебень]]+Таблица19[[#This Row],[Асфальт]]+Таблица19[[#This Row],[Бетон]]</f>
        <v>0.3</v>
      </c>
      <c r="F270" s="243">
        <v>0</v>
      </c>
      <c r="G270" s="140"/>
      <c r="H270" s="249">
        <v>0.3</v>
      </c>
      <c r="I270" s="139"/>
      <c r="J270" s="232" t="s">
        <v>800</v>
      </c>
      <c r="N270" s="234" t="b">
        <f>OR(Таблица19[[#This Row],[Щебень]]&gt;0,Таблица19[[#This Row],[Асфальт]]&gt;0,Таблица19[[#This Row],[Бетон]]&gt;0)</f>
        <v>1</v>
      </c>
      <c r="Q270" s="234">
        <v>268</v>
      </c>
      <c r="S270" s="235"/>
      <c r="T270" s="235"/>
    </row>
    <row r="271" spans="1:20" s="234" customFormat="1" ht="46.5" x14ac:dyDescent="0.35">
      <c r="A271" s="146">
        <v>270</v>
      </c>
      <c r="B271" s="146" t="s">
        <v>519</v>
      </c>
      <c r="C271" s="146" t="s">
        <v>520</v>
      </c>
      <c r="D271" s="146" t="s">
        <v>552</v>
      </c>
      <c r="E271" s="254">
        <f>Таблица19[[#This Row],[Грунт]]+Таблица19[[#This Row],[Щебень]]+Таблица19[[#This Row],[Асфальт]]+Таблица19[[#This Row],[Бетон]]</f>
        <v>0.1</v>
      </c>
      <c r="F271" s="243"/>
      <c r="G271" s="140"/>
      <c r="H271" s="249">
        <v>0.1</v>
      </c>
      <c r="I271" s="139"/>
      <c r="J271" s="232" t="s">
        <v>800</v>
      </c>
      <c r="N271" s="234" t="b">
        <f>OR(Таблица19[[#This Row],[Щебень]]&gt;0,Таблица19[[#This Row],[Асфальт]]&gt;0,Таблица19[[#This Row],[Бетон]]&gt;0)</f>
        <v>1</v>
      </c>
      <c r="Q271" s="234">
        <v>269</v>
      </c>
      <c r="S271" s="235"/>
      <c r="T271" s="235"/>
    </row>
    <row r="272" spans="1:20" s="234" customFormat="1" ht="46.5" x14ac:dyDescent="0.35">
      <c r="A272" s="146">
        <v>271</v>
      </c>
      <c r="B272" s="146" t="s">
        <v>521</v>
      </c>
      <c r="C272" s="146" t="s">
        <v>522</v>
      </c>
      <c r="D272" s="146" t="s">
        <v>552</v>
      </c>
      <c r="E272" s="254">
        <f>Таблица19[[#This Row],[Грунт]]+Таблица19[[#This Row],[Щебень]]+Таблица19[[#This Row],[Асфальт]]+Таблица19[[#This Row],[Бетон]]</f>
        <v>0.4</v>
      </c>
      <c r="F272" s="243"/>
      <c r="G272" s="140">
        <v>0</v>
      </c>
      <c r="H272" s="249">
        <v>0.4</v>
      </c>
      <c r="I272" s="139"/>
      <c r="J272" s="232" t="s">
        <v>800</v>
      </c>
      <c r="N272" s="234" t="b">
        <f>OR(Таблица19[[#This Row],[Щебень]]&gt;0,Таблица19[[#This Row],[Асфальт]]&gt;0,Таблица19[[#This Row],[Бетон]]&gt;0)</f>
        <v>1</v>
      </c>
      <c r="O272" s="234">
        <v>1</v>
      </c>
      <c r="Q272" s="234">
        <v>270</v>
      </c>
      <c r="S272" s="235"/>
      <c r="T272" s="235"/>
    </row>
    <row r="273" spans="1:20" s="234" customFormat="1" ht="46.5" x14ac:dyDescent="0.35">
      <c r="A273" s="146">
        <v>272</v>
      </c>
      <c r="B273" s="146" t="s">
        <v>523</v>
      </c>
      <c r="C273" s="146" t="s">
        <v>524</v>
      </c>
      <c r="D273" s="146" t="s">
        <v>552</v>
      </c>
      <c r="E273" s="254">
        <f>Таблица19[[#This Row],[Грунт]]+Таблица19[[#This Row],[Щебень]]+Таблица19[[#This Row],[Асфальт]]+Таблица19[[#This Row],[Бетон]]</f>
        <v>1.7190000000000001</v>
      </c>
      <c r="F273" s="243">
        <v>1.7190000000000001</v>
      </c>
      <c r="G273" s="140"/>
      <c r="H273" s="249"/>
      <c r="I273" s="139"/>
      <c r="J273" s="232"/>
      <c r="N273" s="234" t="b">
        <f>OR(Таблица19[[#This Row],[Щебень]]&gt;0,Таблица19[[#This Row],[Асфальт]]&gt;0,Таблица19[[#This Row],[Бетон]]&gt;0)</f>
        <v>0</v>
      </c>
      <c r="Q273" s="234">
        <v>271</v>
      </c>
      <c r="S273" s="235"/>
      <c r="T273" s="235"/>
    </row>
    <row r="274" spans="1:20" s="234" customFormat="1" ht="46.5" x14ac:dyDescent="0.35">
      <c r="A274" s="146">
        <v>273</v>
      </c>
      <c r="B274" s="146" t="s">
        <v>553</v>
      </c>
      <c r="C274" s="146" t="s">
        <v>554</v>
      </c>
      <c r="D274" s="146" t="s">
        <v>552</v>
      </c>
      <c r="E274" s="254">
        <f>Таблица19[[#This Row],[Грунт]]+Таблица19[[#This Row],[Щебень]]+Таблица19[[#This Row],[Асфальт]]+Таблица19[[#This Row],[Бетон]]</f>
        <v>3</v>
      </c>
      <c r="F274" s="243">
        <v>2.1</v>
      </c>
      <c r="G274" s="140">
        <v>0.9</v>
      </c>
      <c r="H274" s="249"/>
      <c r="I274" s="139"/>
      <c r="J274" s="232"/>
      <c r="K274" s="233" t="s">
        <v>557</v>
      </c>
      <c r="N274" s="234" t="b">
        <f>OR(Таблица19[[#This Row],[Щебень]]&gt;0,Таблица19[[#This Row],[Асфальт]]&gt;0,Таблица19[[#This Row],[Бетон]]&gt;0)</f>
        <v>1</v>
      </c>
      <c r="O274" s="234">
        <v>1</v>
      </c>
      <c r="Q274" s="234">
        <v>272</v>
      </c>
      <c r="S274" s="235"/>
      <c r="T274" s="235"/>
    </row>
    <row r="275" spans="1:20" s="234" customFormat="1" ht="46.5" x14ac:dyDescent="0.35">
      <c r="A275" s="146">
        <v>274</v>
      </c>
      <c r="B275" s="146" t="s">
        <v>525</v>
      </c>
      <c r="C275" s="146" t="s">
        <v>526</v>
      </c>
      <c r="D275" s="146" t="s">
        <v>552</v>
      </c>
      <c r="E275" s="254">
        <f>Таблица19[[#This Row],[Грунт]]+Таблица19[[#This Row],[Щебень]]+Таблица19[[#This Row],[Асфальт]]+Таблица19[[#This Row],[Бетон]]</f>
        <v>6.6</v>
      </c>
      <c r="F275" s="243">
        <v>0.7</v>
      </c>
      <c r="G275" s="140">
        <v>0.9</v>
      </c>
      <c r="H275" s="249">
        <v>5</v>
      </c>
      <c r="I275" s="139"/>
      <c r="J275" s="232"/>
      <c r="N275" s="234" t="b">
        <f>OR(Таблица19[[#This Row],[Щебень]]&gt;0,Таблица19[[#This Row],[Асфальт]]&gt;0,Таблица19[[#This Row],[Бетон]]&gt;0)</f>
        <v>1</v>
      </c>
      <c r="O275" s="234">
        <v>1</v>
      </c>
      <c r="Q275" s="234">
        <v>273</v>
      </c>
      <c r="S275" s="235"/>
      <c r="T275" s="235"/>
    </row>
    <row r="276" spans="1:20" s="234" customFormat="1" ht="46.5" x14ac:dyDescent="0.35">
      <c r="A276" s="146">
        <v>275</v>
      </c>
      <c r="B276" s="146" t="s">
        <v>812</v>
      </c>
      <c r="C276" s="146" t="s">
        <v>816</v>
      </c>
      <c r="D276" s="146" t="s">
        <v>552</v>
      </c>
      <c r="E276" s="258">
        <f>Таблица19[[#This Row],[Грунт]]+Таблица19[[#This Row],[Щебень]]+Таблица19[[#This Row],[Асфальт]]+Таблица19[[#This Row],[Бетон]]</f>
        <v>0.6</v>
      </c>
      <c r="F276" s="246"/>
      <c r="G276" s="248">
        <v>0.6</v>
      </c>
      <c r="H276" s="252"/>
      <c r="I276" s="253"/>
      <c r="J276" s="232"/>
      <c r="K276" s="235"/>
      <c r="L276" s="235"/>
      <c r="N276" s="242" t="b">
        <f>OR(Таблица19[[#This Row],[Щебень]]&gt;0,Таблица19[[#This Row],[Асфальт]]&gt;0,Таблица19[[#This Row],[Бетон]]&gt;0)</f>
        <v>1</v>
      </c>
      <c r="O276" s="235"/>
      <c r="P276" s="235"/>
      <c r="Q276" s="235"/>
      <c r="R276" s="235"/>
      <c r="S276" s="235"/>
      <c r="T276" s="235"/>
    </row>
    <row r="277" spans="1:20" s="234" customFormat="1" ht="46.5" x14ac:dyDescent="0.35">
      <c r="A277" s="146">
        <v>276</v>
      </c>
      <c r="B277" s="146" t="s">
        <v>813</v>
      </c>
      <c r="C277" s="146" t="s">
        <v>817</v>
      </c>
      <c r="D277" s="146" t="s">
        <v>552</v>
      </c>
      <c r="E277" s="258">
        <f>Таблица19[[#This Row],[Грунт]]+Таблица19[[#This Row],[Щебень]]+Таблица19[[#This Row],[Асфальт]]+Таблица19[[#This Row],[Бетон]]</f>
        <v>0.79</v>
      </c>
      <c r="F277" s="246"/>
      <c r="G277" s="248">
        <v>0.79</v>
      </c>
      <c r="H277" s="252"/>
      <c r="I277" s="253"/>
      <c r="J277" s="232"/>
      <c r="K277" s="235"/>
      <c r="L277" s="235"/>
      <c r="N277" s="242" t="b">
        <f>OR(Таблица19[[#This Row],[Щебень]]&gt;0,Таблица19[[#This Row],[Асфальт]]&gt;0,Таблица19[[#This Row],[Бетон]]&gt;0)</f>
        <v>1</v>
      </c>
      <c r="O277" s="235"/>
      <c r="P277" s="235"/>
      <c r="Q277" s="235"/>
      <c r="R277" s="235"/>
      <c r="S277" s="235"/>
      <c r="T277" s="235"/>
    </row>
    <row r="278" spans="1:20" s="234" customFormat="1" ht="46.5" x14ac:dyDescent="0.35">
      <c r="A278" s="146">
        <v>277</v>
      </c>
      <c r="B278" s="146" t="s">
        <v>814</v>
      </c>
      <c r="C278" s="146" t="s">
        <v>818</v>
      </c>
      <c r="D278" s="146" t="s">
        <v>552</v>
      </c>
      <c r="E278" s="258">
        <f>Таблица19[[#This Row],[Грунт]]+Таблица19[[#This Row],[Щебень]]+Таблица19[[#This Row],[Асфальт]]+Таблица19[[#This Row],[Бетон]]</f>
        <v>0.76</v>
      </c>
      <c r="F278" s="246"/>
      <c r="G278" s="248">
        <v>0.76</v>
      </c>
      <c r="H278" s="252"/>
      <c r="I278" s="253"/>
      <c r="J278" s="232"/>
      <c r="K278" s="235"/>
      <c r="L278" s="235"/>
      <c r="N278" s="242" t="b">
        <f>OR(Таблица19[[#This Row],[Щебень]]&gt;0,Таблица19[[#This Row],[Асфальт]]&gt;0,Таблица19[[#This Row],[Бетон]]&gt;0)</f>
        <v>1</v>
      </c>
      <c r="O278" s="235"/>
      <c r="P278" s="235"/>
      <c r="Q278" s="235"/>
      <c r="R278" s="235"/>
      <c r="S278" s="235"/>
      <c r="T278" s="235"/>
    </row>
    <row r="279" spans="1:20" s="234" customFormat="1" ht="46.5" x14ac:dyDescent="0.35">
      <c r="A279" s="146">
        <v>278</v>
      </c>
      <c r="B279" s="146" t="s">
        <v>815</v>
      </c>
      <c r="C279" s="146" t="s">
        <v>819</v>
      </c>
      <c r="D279" s="146" t="s">
        <v>552</v>
      </c>
      <c r="E279" s="258">
        <f>Таблица19[[#This Row],[Грунт]]+Таблица19[[#This Row],[Щебень]]+Таблица19[[#This Row],[Асфальт]]+Таблица19[[#This Row],[Бетон]]</f>
        <v>0.63</v>
      </c>
      <c r="F279" s="246"/>
      <c r="G279" s="248">
        <v>0.63</v>
      </c>
      <c r="H279" s="252"/>
      <c r="I279" s="253"/>
      <c r="J279" s="232"/>
      <c r="K279" s="235"/>
      <c r="L279" s="235"/>
      <c r="N279" s="242" t="b">
        <f>OR(Таблица19[[#This Row],[Щебень]]&gt;0,Таблица19[[#This Row],[Асфальт]]&gt;0,Таблица19[[#This Row],[Бетон]]&gt;0)</f>
        <v>1</v>
      </c>
      <c r="O279" s="235"/>
      <c r="P279" s="235"/>
      <c r="Q279" s="235"/>
      <c r="R279" s="235"/>
      <c r="S279" s="235"/>
      <c r="T279" s="235"/>
    </row>
    <row r="280" spans="1:20" ht="45" x14ac:dyDescent="0.35">
      <c r="A280" s="13" t="s">
        <v>562</v>
      </c>
      <c r="B280" s="13"/>
      <c r="C280" s="13"/>
      <c r="D280" s="13"/>
      <c r="E280" s="120">
        <f>SUBTOTAL(109,Таблица19[Протяженность(км)])</f>
        <v>491.58400000000012</v>
      </c>
      <c r="F280" s="120">
        <f>SUBTOTAL(109,Таблица19[Грунт])</f>
        <v>317.09899999999999</v>
      </c>
      <c r="G280" s="120">
        <f>SUBTOTAL(109,Таблица19[Щебень])</f>
        <v>63.611000000000004</v>
      </c>
      <c r="H280" s="120">
        <f>SUBTOTAL(109,Таблица19[Асфальт])</f>
        <v>104.65399999999997</v>
      </c>
      <c r="I280" s="120">
        <f>SUBTOTAL(109,Таблица19[Бетон])</f>
        <v>6.2200000000000006</v>
      </c>
      <c r="J280" s="120">
        <f>SUBTOTAL(109,Таблица19[Столбец6])</f>
        <v>0</v>
      </c>
      <c r="K280" s="120">
        <f>SUBTOTAL(109,Таблица19[ПАСПОРТИЗАЦИЯ])</f>
        <v>0</v>
      </c>
      <c r="L280" s="120">
        <f>SUBTOTAL(109,Таблица19[МЕЖЕВАНИЕ])</f>
        <v>1.45</v>
      </c>
      <c r="M280" s="120">
        <f>SUBTOTAL(109,Таблица19[Столбец5])</f>
        <v>0</v>
      </c>
      <c r="N280" s="120">
        <f>SUBTOTAL(109,Таблица19[ФИЛЬТР ПО ТВЕРДОМУ])</f>
        <v>0</v>
      </c>
      <c r="O280" s="15">
        <f>SUBTOTAL(109,Таблица19[Столбец1])</f>
        <v>101.7</v>
      </c>
      <c r="P280" s="15"/>
      <c r="Q280" s="15"/>
      <c r="R280" s="15"/>
      <c r="S280" s="15"/>
      <c r="T280" s="15"/>
    </row>
    <row r="281" spans="1:20" x14ac:dyDescent="0.35">
      <c r="H281" s="114"/>
      <c r="I281" s="117"/>
      <c r="J281" s="170"/>
    </row>
    <row r="282" spans="1:20" x14ac:dyDescent="0.35">
      <c r="E282" s="15">
        <f>Таблица19[[#Totals],[Протяженность(км)]]-483</f>
        <v>8.5840000000001169</v>
      </c>
    </row>
    <row r="297" spans="3:3" x14ac:dyDescent="0.35">
      <c r="C297" s="8" t="s">
        <v>570</v>
      </c>
    </row>
  </sheetData>
  <mergeCells count="1">
    <mergeCell ref="E1:I1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61516A-FE39-4121-A05E-6B6246355B96}">
  <sheetPr>
    <pageSetUpPr fitToPage="1"/>
  </sheetPr>
  <dimension ref="A1:AP300"/>
  <sheetViews>
    <sheetView tabSelected="1" view="pageBreakPreview" topLeftCell="A88" zoomScale="60" zoomScaleNormal="46" workbookViewId="0">
      <selection activeCell="E123" sqref="E123"/>
    </sheetView>
  </sheetViews>
  <sheetFormatPr defaultColWidth="26.7109375" defaultRowHeight="23.25" x14ac:dyDescent="0.35"/>
  <cols>
    <col min="1" max="1" width="8.42578125" style="8" customWidth="1"/>
    <col min="2" max="2" width="42" style="8" customWidth="1"/>
    <col min="3" max="3" width="74.42578125" style="8" customWidth="1"/>
    <col min="4" max="4" width="27.42578125" style="8" customWidth="1"/>
    <col min="5" max="5" width="23.7109375" style="15" customWidth="1"/>
    <col min="6" max="6" width="15.28515625" style="8" customWidth="1"/>
    <col min="7" max="7" width="14.85546875" style="15" customWidth="1"/>
    <col min="8" max="8" width="20" style="8" customWidth="1"/>
    <col min="9" max="9" width="17.28515625" style="15" customWidth="1"/>
    <col min="10" max="10" width="14" style="169" hidden="1" customWidth="1"/>
    <col min="11" max="11" width="93.28515625" style="8" hidden="1" customWidth="1"/>
    <col min="12" max="13" width="17.7109375" style="8" hidden="1" customWidth="1"/>
    <col min="14" max="14" width="28.5703125" style="8" hidden="1" customWidth="1"/>
    <col min="15" max="33" width="0" style="8" hidden="1" customWidth="1"/>
    <col min="34" max="16384" width="26.7109375" style="8"/>
  </cols>
  <sheetData>
    <row r="1" spans="1:33" ht="238.5" customHeight="1" x14ac:dyDescent="0.35">
      <c r="E1" s="412" t="s">
        <v>842</v>
      </c>
      <c r="F1" s="412"/>
      <c r="G1" s="412"/>
      <c r="H1" s="412"/>
      <c r="I1" s="412"/>
      <c r="AG1" s="259"/>
    </row>
    <row r="2" spans="1:33" ht="46.5" x14ac:dyDescent="0.35">
      <c r="A2" s="326" t="s">
        <v>0</v>
      </c>
      <c r="B2" s="326" t="s">
        <v>1</v>
      </c>
      <c r="C2" s="326" t="s">
        <v>2</v>
      </c>
      <c r="D2" s="326" t="s">
        <v>536</v>
      </c>
      <c r="E2" s="326" t="s">
        <v>3</v>
      </c>
      <c r="F2" s="327" t="s">
        <v>528</v>
      </c>
      <c r="G2" s="327" t="s">
        <v>529</v>
      </c>
      <c r="H2" s="327" t="s">
        <v>527</v>
      </c>
      <c r="I2" s="327" t="s">
        <v>535</v>
      </c>
      <c r="J2" s="166" t="s">
        <v>799</v>
      </c>
      <c r="K2" s="327" t="s">
        <v>556</v>
      </c>
      <c r="L2" s="327" t="s">
        <v>559</v>
      </c>
      <c r="M2" s="327" t="s">
        <v>798</v>
      </c>
      <c r="N2" s="327" t="s">
        <v>565</v>
      </c>
      <c r="O2" s="327" t="s">
        <v>566</v>
      </c>
      <c r="P2" s="327" t="s">
        <v>568</v>
      </c>
      <c r="Q2" s="327" t="s">
        <v>794</v>
      </c>
      <c r="R2" s="327" t="s">
        <v>795</v>
      </c>
      <c r="S2" s="327" t="s">
        <v>805</v>
      </c>
      <c r="T2" s="327" t="s">
        <v>806</v>
      </c>
      <c r="U2" s="327" t="s">
        <v>828</v>
      </c>
      <c r="V2" s="327" t="s">
        <v>829</v>
      </c>
      <c r="W2" s="327" t="s">
        <v>830</v>
      </c>
      <c r="X2" s="327" t="s">
        <v>831</v>
      </c>
      <c r="Y2" s="327" t="s">
        <v>832</v>
      </c>
      <c r="Z2" s="327" t="s">
        <v>833</v>
      </c>
    </row>
    <row r="3" spans="1:33" s="234" customFormat="1" x14ac:dyDescent="0.35">
      <c r="A3" s="146">
        <v>1</v>
      </c>
      <c r="B3" s="146" t="s">
        <v>4</v>
      </c>
      <c r="C3" s="146" t="s">
        <v>5</v>
      </c>
      <c r="D3" s="146" t="s">
        <v>547</v>
      </c>
      <c r="E3" s="254">
        <f>Таблица191014[[#This Row],[Грунт]]+Таблица191014[[#This Row],[Щебень]]+Таблица191014[[#This Row],[Асфальт]]+Таблица191014[[#This Row],[Бетон]]</f>
        <v>1.75</v>
      </c>
      <c r="F3" s="311"/>
      <c r="G3" s="140"/>
      <c r="H3" s="249">
        <v>1.75</v>
      </c>
      <c r="I3" s="139"/>
      <c r="J3" s="232"/>
      <c r="K3" s="234" t="s">
        <v>557</v>
      </c>
      <c r="N3" s="234" t="b">
        <f>OR(Таблица191014[[#This Row],[Щебень]]&gt;0,Таблица191014[[#This Row],[Асфальт]]&gt;0,Таблица191014[[#This Row],[Бетон]]&gt;0)</f>
        <v>1</v>
      </c>
      <c r="O3" s="234">
        <v>1</v>
      </c>
      <c r="P3" s="234">
        <v>1</v>
      </c>
      <c r="Q3" s="234">
        <v>1</v>
      </c>
      <c r="U3" s="322"/>
      <c r="V3" s="322">
        <f>Таблица191014[[#This Row],[Грунт]]+Таблица191014[[#This Row],[Щебень]]+Таблица191014[[#This Row],[Асфальт]]+Таблица191014[[#This Row],[Бетон]]</f>
        <v>1.75</v>
      </c>
      <c r="W3" s="322"/>
      <c r="X3" s="322"/>
      <c r="Y3" s="322"/>
      <c r="Z3" s="322"/>
    </row>
    <row r="4" spans="1:33" s="234" customFormat="1" x14ac:dyDescent="0.35">
      <c r="A4" s="146">
        <v>2</v>
      </c>
      <c r="B4" s="146" t="s">
        <v>6</v>
      </c>
      <c r="C4" s="146" t="s">
        <v>7</v>
      </c>
      <c r="D4" s="146" t="s">
        <v>547</v>
      </c>
      <c r="E4" s="254">
        <f>Таблица191014[[#This Row],[Грунт]]+Таблица191014[[#This Row],[Щебень]]+Таблица191014[[#This Row],[Асфальт]]+Таблица191014[[#This Row],[Бетон]]</f>
        <v>0.7</v>
      </c>
      <c r="F4" s="311"/>
      <c r="G4" s="140"/>
      <c r="H4" s="249">
        <v>0.7</v>
      </c>
      <c r="I4" s="139"/>
      <c r="J4" s="232"/>
      <c r="K4" s="234" t="s">
        <v>557</v>
      </c>
      <c r="N4" s="234" t="b">
        <f>OR(Таблица191014[[#This Row],[Щебень]]&gt;0,Таблица191014[[#This Row],[Асфальт]]&gt;0,Таблица191014[[#This Row],[Бетон]]&gt;0)</f>
        <v>1</v>
      </c>
      <c r="O4" s="234">
        <v>1</v>
      </c>
      <c r="P4" s="234">
        <v>1</v>
      </c>
      <c r="Q4" s="234">
        <v>2</v>
      </c>
      <c r="U4" s="285"/>
      <c r="V4" s="285">
        <f>Таблица191014[[#This Row],[Грунт]]+Таблица191014[[#This Row],[Щебень]]+Таблица191014[[#This Row],[Асфальт]]+Таблица191014[[#This Row],[Бетон]]</f>
        <v>0.7</v>
      </c>
      <c r="W4" s="285"/>
      <c r="X4" s="285"/>
      <c r="Y4" s="285"/>
      <c r="Z4" s="285"/>
    </row>
    <row r="5" spans="1:33" s="234" customFormat="1" x14ac:dyDescent="0.35">
      <c r="A5" s="146">
        <v>3</v>
      </c>
      <c r="B5" s="146" t="s">
        <v>8</v>
      </c>
      <c r="C5" s="146" t="s">
        <v>9</v>
      </c>
      <c r="D5" s="146" t="s">
        <v>547</v>
      </c>
      <c r="E5" s="254">
        <f>Таблица191014[[#This Row],[Грунт]]+Таблица191014[[#This Row],[Щебень]]+Таблица191014[[#This Row],[Асфальт]]+Таблица191014[[#This Row],[Бетон]]</f>
        <v>0.8</v>
      </c>
      <c r="F5" s="311">
        <v>0.8</v>
      </c>
      <c r="G5" s="140"/>
      <c r="H5" s="249"/>
      <c r="I5" s="139"/>
      <c r="J5" s="232"/>
      <c r="K5" s="234">
        <v>1</v>
      </c>
      <c r="N5" s="234" t="b">
        <f>OR(Таблица191014[[#This Row],[Щебень]]&gt;0,Таблица191014[[#This Row],[Асфальт]]&gt;0,Таблица191014[[#This Row],[Бетон]]&gt;0)</f>
        <v>0</v>
      </c>
      <c r="Q5" s="234">
        <v>3</v>
      </c>
      <c r="U5" s="285"/>
      <c r="V5" s="285">
        <f>Таблица191014[[#This Row],[Грунт]]+Таблица191014[[#This Row],[Щебень]]+Таблица191014[[#This Row],[Асфальт]]+Таблица191014[[#This Row],[Бетон]]</f>
        <v>0.8</v>
      </c>
      <c r="W5" s="285"/>
      <c r="X5" s="285"/>
      <c r="Y5" s="285"/>
      <c r="Z5" s="285"/>
    </row>
    <row r="6" spans="1:33" s="234" customFormat="1" x14ac:dyDescent="0.35">
      <c r="A6" s="146">
        <v>4</v>
      </c>
      <c r="B6" s="146" t="s">
        <v>10</v>
      </c>
      <c r="C6" s="146" t="s">
        <v>11</v>
      </c>
      <c r="D6" s="146" t="s">
        <v>547</v>
      </c>
      <c r="E6" s="254">
        <f>Таблица191014[[#This Row],[Грунт]]+Таблица191014[[#This Row],[Щебень]]+Таблица191014[[#This Row],[Асфальт]]+Таблица191014[[#This Row],[Бетон]]</f>
        <v>0.2</v>
      </c>
      <c r="F6" s="311">
        <v>0.2</v>
      </c>
      <c r="G6" s="140"/>
      <c r="H6" s="249"/>
      <c r="I6" s="139"/>
      <c r="J6" s="232"/>
      <c r="K6" s="234">
        <v>1</v>
      </c>
      <c r="N6" s="234" t="b">
        <f>OR(Таблица191014[[#This Row],[Щебень]]&gt;0,Таблица191014[[#This Row],[Асфальт]]&gt;0,Таблица191014[[#This Row],[Бетон]]&gt;0)</f>
        <v>0</v>
      </c>
      <c r="Q6" s="234">
        <v>4</v>
      </c>
      <c r="U6" s="285"/>
      <c r="V6" s="285">
        <f>Таблица191014[[#This Row],[Грунт]]+Таблица191014[[#This Row],[Щебень]]+Таблица191014[[#This Row],[Асфальт]]+Таблица191014[[#This Row],[Бетон]]</f>
        <v>0.2</v>
      </c>
      <c r="W6" s="285"/>
      <c r="X6" s="285"/>
      <c r="Y6" s="285"/>
      <c r="Z6" s="285"/>
    </row>
    <row r="7" spans="1:33" s="234" customFormat="1" x14ac:dyDescent="0.35">
      <c r="A7" s="146">
        <v>5</v>
      </c>
      <c r="B7" s="146" t="s">
        <v>12</v>
      </c>
      <c r="C7" s="146" t="s">
        <v>13</v>
      </c>
      <c r="D7" s="146" t="s">
        <v>537</v>
      </c>
      <c r="E7" s="255">
        <f>Таблица191014[[#This Row],[Грунт]]</f>
        <v>2.2999999999999998</v>
      </c>
      <c r="F7" s="311">
        <v>2.2999999999999998</v>
      </c>
      <c r="G7" s="140"/>
      <c r="H7" s="249"/>
      <c r="I7" s="139"/>
      <c r="J7" s="232"/>
      <c r="K7" s="234" t="s">
        <v>557</v>
      </c>
      <c r="N7" s="234" t="b">
        <f>OR(Таблица191014[[#This Row],[Щебень]]&gt;0,Таблица191014[[#This Row],[Асфальт]]&gt;0,Таблица191014[[#This Row],[Бетон]]&gt;0)</f>
        <v>0</v>
      </c>
      <c r="Q7" s="234">
        <v>5</v>
      </c>
      <c r="U7" s="285"/>
      <c r="V7" s="285">
        <f>Таблица191014[[#This Row],[Грунт]]+Таблица191014[[#This Row],[Щебень]]+Таблица191014[[#This Row],[Асфальт]]+Таблица191014[[#This Row],[Бетон]]</f>
        <v>2.2999999999999998</v>
      </c>
      <c r="W7" s="285"/>
      <c r="X7" s="285"/>
      <c r="Y7" s="285"/>
      <c r="Z7" s="285"/>
    </row>
    <row r="8" spans="1:33" s="234" customFormat="1" x14ac:dyDescent="0.35">
      <c r="A8" s="146">
        <v>6</v>
      </c>
      <c r="B8" s="146" t="s">
        <v>14</v>
      </c>
      <c r="C8" s="146" t="s">
        <v>555</v>
      </c>
      <c r="D8" s="146" t="s">
        <v>537</v>
      </c>
      <c r="E8" s="254">
        <f>Таблица191014[[#This Row],[Грунт]]+Таблица191014[[#This Row],[Щебень]]+Таблица191014[[#This Row],[Асфальт]]+Таблица191014[[#This Row],[Бетон]]</f>
        <v>3.5369999999999999</v>
      </c>
      <c r="F8" s="311">
        <v>3.5369999999999999</v>
      </c>
      <c r="G8" s="140"/>
      <c r="H8" s="249"/>
      <c r="I8" s="139"/>
      <c r="J8" s="232"/>
      <c r="K8" s="234" t="s">
        <v>558</v>
      </c>
      <c r="N8" s="234" t="b">
        <f>OR(Таблица191014[[#This Row],[Щебень]]&gt;0,Таблица191014[[#This Row],[Асфальт]]&gt;0,Таблица191014[[#This Row],[Бетон]]&gt;0)</f>
        <v>0</v>
      </c>
      <c r="O8" s="234">
        <v>1</v>
      </c>
      <c r="Q8" s="234">
        <v>6</v>
      </c>
      <c r="U8" s="285"/>
      <c r="V8" s="285">
        <f>Таблица191014[[#This Row],[Грунт]]+Таблица191014[[#This Row],[Щебень]]+Таблица191014[[#This Row],[Асфальт]]+Таблица191014[[#This Row],[Бетон]]</f>
        <v>3.5369999999999999</v>
      </c>
      <c r="W8" s="285"/>
      <c r="X8" s="285"/>
      <c r="Y8" s="285"/>
      <c r="Z8" s="285"/>
    </row>
    <row r="9" spans="1:33" s="234" customFormat="1" x14ac:dyDescent="0.35">
      <c r="A9" s="146">
        <v>7</v>
      </c>
      <c r="B9" s="146" t="s">
        <v>15</v>
      </c>
      <c r="C9" s="146" t="s">
        <v>16</v>
      </c>
      <c r="D9" s="146" t="s">
        <v>549</v>
      </c>
      <c r="E9" s="254">
        <f>Таблица191014[[#This Row],[Грунт]]+Таблица191014[[#This Row],[Щебень]]+Таблица191014[[#This Row],[Асфальт]]+Таблица191014[[#This Row],[Бетон]]</f>
        <v>4.6260000000000003</v>
      </c>
      <c r="F9" s="311">
        <v>4.6260000000000003</v>
      </c>
      <c r="G9" s="140"/>
      <c r="H9" s="249"/>
      <c r="I9" s="139"/>
      <c r="J9" s="232"/>
      <c r="K9" s="234" t="s">
        <v>558</v>
      </c>
      <c r="N9" s="234" t="b">
        <f>OR(Таблица191014[[#This Row],[Щебень]]&gt;0,Таблица191014[[#This Row],[Асфальт]]&gt;0,Таблица191014[[#This Row],[Бетон]]&gt;0)</f>
        <v>0</v>
      </c>
      <c r="O9" s="234">
        <v>1</v>
      </c>
      <c r="Q9" s="234">
        <v>7</v>
      </c>
      <c r="U9" s="285"/>
      <c r="V9" s="285">
        <f>Таблица191014[[#This Row],[Грунт]]+Таблица191014[[#This Row],[Щебень]]+Таблица191014[[#This Row],[Асфальт]]+Таблица191014[[#This Row],[Бетон]]</f>
        <v>4.6260000000000003</v>
      </c>
      <c r="W9" s="285"/>
      <c r="X9" s="285"/>
      <c r="Y9" s="285"/>
      <c r="Z9" s="285"/>
    </row>
    <row r="10" spans="1:33" s="234" customFormat="1" ht="46.5" x14ac:dyDescent="0.35">
      <c r="A10" s="146">
        <v>8</v>
      </c>
      <c r="B10" s="146" t="s">
        <v>17</v>
      </c>
      <c r="C10" s="146" t="s">
        <v>18</v>
      </c>
      <c r="D10" s="146" t="s">
        <v>549</v>
      </c>
      <c r="E10" s="254">
        <f>Таблица191014[[#This Row],[Грунт]]+Таблица191014[[#This Row],[Щебень]]+Таблица191014[[#This Row],[Асфальт]]+Таблица191014[[#This Row],[Бетон]]</f>
        <v>1.022</v>
      </c>
      <c r="F10" s="311">
        <v>1.022</v>
      </c>
      <c r="G10" s="140"/>
      <c r="H10" s="249"/>
      <c r="I10" s="139"/>
      <c r="J10" s="232"/>
      <c r="K10" s="234" t="s">
        <v>558</v>
      </c>
      <c r="N10" s="234" t="b">
        <f>OR(Таблица191014[[#This Row],[Щебень]]&gt;0,Таблица191014[[#This Row],[Асфальт]]&gt;0,Таблица191014[[#This Row],[Бетон]]&gt;0)</f>
        <v>0</v>
      </c>
      <c r="O10" s="234">
        <v>1</v>
      </c>
      <c r="Q10" s="234">
        <v>8</v>
      </c>
      <c r="U10" s="285"/>
      <c r="V10" s="285">
        <f>Таблица191014[[#This Row],[Грунт]]+Таблица191014[[#This Row],[Щебень]]+Таблица191014[[#This Row],[Асфальт]]+Таблица191014[[#This Row],[Бетон]]</f>
        <v>1.022</v>
      </c>
      <c r="W10" s="285"/>
      <c r="X10" s="285"/>
      <c r="Y10" s="285"/>
      <c r="Z10" s="285"/>
    </row>
    <row r="11" spans="1:33" s="234" customFormat="1" x14ac:dyDescent="0.35">
      <c r="A11" s="146">
        <v>9</v>
      </c>
      <c r="B11" s="146" t="s">
        <v>19</v>
      </c>
      <c r="C11" s="146" t="s">
        <v>20</v>
      </c>
      <c r="D11" s="146" t="s">
        <v>549</v>
      </c>
      <c r="E11" s="254">
        <f>Таблица191014[[#This Row],[Грунт]]+Таблица191014[[#This Row],[Щебень]]+Таблица191014[[#This Row],[Асфальт]]+Таблица191014[[#This Row],[Бетон]]</f>
        <v>1.756</v>
      </c>
      <c r="F11" s="311">
        <v>1.756</v>
      </c>
      <c r="G11" s="140"/>
      <c r="H11" s="249"/>
      <c r="I11" s="139"/>
      <c r="J11" s="232"/>
      <c r="K11" s="234" t="s">
        <v>558</v>
      </c>
      <c r="N11" s="234" t="b">
        <f>OR(Таблица191014[[#This Row],[Щебень]]&gt;0,Таблица191014[[#This Row],[Асфальт]]&gt;0,Таблица191014[[#This Row],[Бетон]]&gt;0)</f>
        <v>0</v>
      </c>
      <c r="Q11" s="234">
        <v>9</v>
      </c>
      <c r="U11" s="285"/>
      <c r="V11" s="285">
        <f>Таблица191014[[#This Row],[Грунт]]+Таблица191014[[#This Row],[Щебень]]+Таблица191014[[#This Row],[Асфальт]]+Таблица191014[[#This Row],[Бетон]]</f>
        <v>1.756</v>
      </c>
      <c r="W11" s="285"/>
      <c r="X11" s="285"/>
      <c r="Y11" s="285"/>
      <c r="Z11" s="285"/>
    </row>
    <row r="12" spans="1:33" s="234" customFormat="1" x14ac:dyDescent="0.35">
      <c r="A12" s="146">
        <v>10</v>
      </c>
      <c r="B12" s="146" t="s">
        <v>21</v>
      </c>
      <c r="C12" s="146" t="s">
        <v>22</v>
      </c>
      <c r="D12" s="146" t="s">
        <v>549</v>
      </c>
      <c r="E12" s="254">
        <f>Таблица191014[[#This Row],[Грунт]]+Таблица191014[[#This Row],[Щебень]]+Таблица191014[[#This Row],[Асфальт]]+Таблица191014[[#This Row],[Бетон]]</f>
        <v>1</v>
      </c>
      <c r="F12" s="311">
        <v>1</v>
      </c>
      <c r="G12" s="140"/>
      <c r="H12" s="249"/>
      <c r="I12" s="139"/>
      <c r="J12" s="232"/>
      <c r="K12" s="234">
        <v>1</v>
      </c>
      <c r="N12" s="234" t="b">
        <f>OR(Таблица191014[[#This Row],[Щебень]]&gt;0,Таблица191014[[#This Row],[Асфальт]]&gt;0,Таблица191014[[#This Row],[Бетон]]&gt;0)</f>
        <v>0</v>
      </c>
      <c r="Q12" s="234">
        <v>10</v>
      </c>
      <c r="U12" s="285"/>
      <c r="V12" s="285">
        <f>Таблица191014[[#This Row],[Грунт]]+Таблица191014[[#This Row],[Щебень]]+Таблица191014[[#This Row],[Асфальт]]+Таблица191014[[#This Row],[Бетон]]</f>
        <v>1</v>
      </c>
      <c r="W12" s="285"/>
      <c r="X12" s="285"/>
      <c r="Y12" s="285"/>
      <c r="Z12" s="285"/>
    </row>
    <row r="13" spans="1:33" s="234" customFormat="1" x14ac:dyDescent="0.35">
      <c r="A13" s="146">
        <v>11</v>
      </c>
      <c r="B13" s="146" t="s">
        <v>23</v>
      </c>
      <c r="C13" s="146" t="s">
        <v>24</v>
      </c>
      <c r="D13" s="146" t="s">
        <v>549</v>
      </c>
      <c r="E13" s="254">
        <f>Таблица191014[[#This Row],[Грунт]]+Таблица191014[[#This Row],[Щебень]]+Таблица191014[[#This Row],[Асфальт]]+Таблица191014[[#This Row],[Бетон]]</f>
        <v>0.5</v>
      </c>
      <c r="F13" s="311">
        <v>0.5</v>
      </c>
      <c r="G13" s="140"/>
      <c r="H13" s="249"/>
      <c r="I13" s="139"/>
      <c r="J13" s="232"/>
      <c r="K13" s="234">
        <v>1</v>
      </c>
      <c r="N13" s="234" t="b">
        <f>OR(Таблица191014[[#This Row],[Щебень]]&gt;0,Таблица191014[[#This Row],[Асфальт]]&gt;0,Таблица191014[[#This Row],[Бетон]]&gt;0)</f>
        <v>0</v>
      </c>
      <c r="Q13" s="234">
        <v>11</v>
      </c>
      <c r="U13" s="285"/>
      <c r="V13" s="285">
        <f>Таблица191014[[#This Row],[Грунт]]+Таблица191014[[#This Row],[Щебень]]+Таблица191014[[#This Row],[Асфальт]]+Таблица191014[[#This Row],[Бетон]]</f>
        <v>0.5</v>
      </c>
      <c r="W13" s="285"/>
      <c r="X13" s="285"/>
      <c r="Y13" s="285"/>
      <c r="Z13" s="285"/>
    </row>
    <row r="14" spans="1:33" s="234" customFormat="1" x14ac:dyDescent="0.35">
      <c r="A14" s="146">
        <v>12</v>
      </c>
      <c r="B14" s="146" t="s">
        <v>25</v>
      </c>
      <c r="C14" s="146" t="s">
        <v>26</v>
      </c>
      <c r="D14" s="146" t="s">
        <v>549</v>
      </c>
      <c r="E14" s="254">
        <f>Таблица191014[[#This Row],[Грунт]]+Таблица191014[[#This Row],[Щебень]]+Таблица191014[[#This Row],[Асфальт]]+Таблица191014[[#This Row],[Бетон]]</f>
        <v>2.802</v>
      </c>
      <c r="F14" s="311">
        <v>2.802</v>
      </c>
      <c r="G14" s="140"/>
      <c r="H14" s="249"/>
      <c r="I14" s="139"/>
      <c r="J14" s="232"/>
      <c r="K14" s="234" t="s">
        <v>558</v>
      </c>
      <c r="N14" s="234" t="b">
        <f>OR(Таблица191014[[#This Row],[Щебень]]&gt;0,Таблица191014[[#This Row],[Асфальт]]&gt;0,Таблица191014[[#This Row],[Бетон]]&gt;0)</f>
        <v>0</v>
      </c>
      <c r="Q14" s="234">
        <v>12</v>
      </c>
      <c r="U14" s="285"/>
      <c r="V14" s="285">
        <f>Таблица191014[[#This Row],[Грунт]]+Таблица191014[[#This Row],[Щебень]]+Таблица191014[[#This Row],[Асфальт]]+Таблица191014[[#This Row],[Бетон]]</f>
        <v>2.802</v>
      </c>
      <c r="W14" s="285"/>
      <c r="X14" s="285"/>
      <c r="Y14" s="285"/>
      <c r="Z14" s="285"/>
    </row>
    <row r="15" spans="1:33" s="234" customFormat="1" x14ac:dyDescent="0.35">
      <c r="A15" s="146">
        <v>13</v>
      </c>
      <c r="B15" s="146" t="s">
        <v>27</v>
      </c>
      <c r="C15" s="146" t="s">
        <v>28</v>
      </c>
      <c r="D15" s="146" t="s">
        <v>544</v>
      </c>
      <c r="E15" s="254">
        <f>Таблица191014[[#This Row],[Грунт]]+Таблица191014[[#This Row],[Щебень]]+Таблица191014[[#This Row],[Асфальт]]+Таблица191014[[#This Row],[Бетон]]</f>
        <v>1.986</v>
      </c>
      <c r="F15" s="311">
        <v>1.986</v>
      </c>
      <c r="G15" s="140"/>
      <c r="H15" s="249"/>
      <c r="I15" s="139"/>
      <c r="J15" s="232"/>
      <c r="K15" s="234" t="s">
        <v>558</v>
      </c>
      <c r="N15" s="234" t="b">
        <f>OR(Таблица191014[[#This Row],[Щебень]]&gt;0,Таблица191014[[#This Row],[Асфальт]]&gt;0,Таблица191014[[#This Row],[Бетон]]&gt;0)</f>
        <v>0</v>
      </c>
      <c r="Q15" s="234">
        <v>13</v>
      </c>
      <c r="U15" s="285"/>
      <c r="V15" s="285">
        <f>Таблица191014[[#This Row],[Грунт]]+Таблица191014[[#This Row],[Щебень]]+Таблица191014[[#This Row],[Асфальт]]+Таблица191014[[#This Row],[Бетон]]</f>
        <v>1.986</v>
      </c>
      <c r="W15" s="285"/>
      <c r="X15" s="285"/>
      <c r="Y15" s="285"/>
      <c r="Z15" s="285"/>
    </row>
    <row r="16" spans="1:33" s="234" customFormat="1" x14ac:dyDescent="0.35">
      <c r="A16" s="146">
        <v>14</v>
      </c>
      <c r="B16" s="146" t="s">
        <v>29</v>
      </c>
      <c r="C16" s="146" t="s">
        <v>30</v>
      </c>
      <c r="D16" s="146" t="s">
        <v>544</v>
      </c>
      <c r="E16" s="254">
        <f>Таблица191014[[#This Row],[Грунт]]+Таблица191014[[#This Row],[Щебень]]+Таблица191014[[#This Row],[Асфальт]]+Таблица191014[[#This Row],[Бетон]]</f>
        <v>2</v>
      </c>
      <c r="F16" s="311">
        <v>2</v>
      </c>
      <c r="G16" s="140"/>
      <c r="H16" s="249"/>
      <c r="I16" s="139"/>
      <c r="J16" s="232"/>
      <c r="K16" s="234">
        <v>1</v>
      </c>
      <c r="N16" s="234" t="b">
        <f>OR(Таблица191014[[#This Row],[Щебень]]&gt;0,Таблица191014[[#This Row],[Асфальт]]&gt;0,Таблица191014[[#This Row],[Бетон]]&gt;0)</f>
        <v>0</v>
      </c>
      <c r="Q16" s="234">
        <v>14</v>
      </c>
      <c r="U16" s="285"/>
      <c r="V16" s="285">
        <f>Таблица191014[[#This Row],[Грунт]]+Таблица191014[[#This Row],[Щебень]]+Таблица191014[[#This Row],[Асфальт]]+Таблица191014[[#This Row],[Бетон]]</f>
        <v>2</v>
      </c>
      <c r="W16" s="285"/>
      <c r="X16" s="285"/>
      <c r="Y16" s="285"/>
      <c r="Z16" s="285"/>
    </row>
    <row r="17" spans="1:26" s="234" customFormat="1" x14ac:dyDescent="0.35">
      <c r="A17" s="146">
        <v>15</v>
      </c>
      <c r="B17" s="146" t="s">
        <v>31</v>
      </c>
      <c r="C17" s="146" t="s">
        <v>32</v>
      </c>
      <c r="D17" s="146" t="s">
        <v>544</v>
      </c>
      <c r="E17" s="254">
        <f>Таблица191014[[#This Row],[Грунт]]+Таблица191014[[#This Row],[Щебень]]+Таблица191014[[#This Row],[Асфальт]]+Таблица191014[[#This Row],[Бетон]]</f>
        <v>2.6020000000000003</v>
      </c>
      <c r="F17" s="311">
        <v>1.35</v>
      </c>
      <c r="G17" s="140">
        <v>1.252</v>
      </c>
      <c r="H17" s="249"/>
      <c r="I17" s="139"/>
      <c r="J17" s="232"/>
      <c r="K17" s="234" t="s">
        <v>558</v>
      </c>
      <c r="N17" s="234" t="b">
        <f>OR(Таблица191014[[#This Row],[Щебень]]&gt;0,Таблица191014[[#This Row],[Асфальт]]&gt;0,Таблица191014[[#This Row],[Бетон]]&gt;0)</f>
        <v>1</v>
      </c>
      <c r="Q17" s="234">
        <v>15</v>
      </c>
      <c r="U17" s="285"/>
      <c r="V17" s="285">
        <f>Таблица191014[[#This Row],[Грунт]]+Таблица191014[[#This Row],[Щебень]]+Таблица191014[[#This Row],[Асфальт]]+Таблица191014[[#This Row],[Бетон]]</f>
        <v>2.6020000000000003</v>
      </c>
      <c r="W17" s="285"/>
      <c r="X17" s="285"/>
      <c r="Y17" s="285"/>
      <c r="Z17" s="285"/>
    </row>
    <row r="18" spans="1:26" s="234" customFormat="1" x14ac:dyDescent="0.35">
      <c r="A18" s="146">
        <v>16</v>
      </c>
      <c r="B18" s="146" t="s">
        <v>33</v>
      </c>
      <c r="C18" s="146" t="s">
        <v>34</v>
      </c>
      <c r="D18" s="146" t="s">
        <v>544</v>
      </c>
      <c r="E18" s="254">
        <f>Таблица191014[[#This Row],[Грунт]]+Таблица191014[[#This Row],[Щебень]]+Таблица191014[[#This Row],[Асфальт]]+Таблица191014[[#This Row],[Бетон]]</f>
        <v>2.4</v>
      </c>
      <c r="F18" s="311">
        <v>1.8</v>
      </c>
      <c r="G18" s="140">
        <v>0.6</v>
      </c>
      <c r="H18" s="249"/>
      <c r="I18" s="139"/>
      <c r="J18" s="232"/>
      <c r="K18" s="234" t="s">
        <v>558</v>
      </c>
      <c r="N18" s="234" t="b">
        <f>OR(Таблица191014[[#This Row],[Щебень]]&gt;0,Таблица191014[[#This Row],[Асфальт]]&gt;0,Таблица191014[[#This Row],[Бетон]]&gt;0)</f>
        <v>1</v>
      </c>
      <c r="Q18" s="234">
        <v>16</v>
      </c>
      <c r="U18" s="285"/>
      <c r="V18" s="285">
        <f>Таблица191014[[#This Row],[Грунт]]+Таблица191014[[#This Row],[Щебень]]+Таблица191014[[#This Row],[Асфальт]]+Таблица191014[[#This Row],[Бетон]]</f>
        <v>2.4</v>
      </c>
      <c r="W18" s="285"/>
      <c r="X18" s="285"/>
      <c r="Y18" s="285"/>
      <c r="Z18" s="285"/>
    </row>
    <row r="19" spans="1:26" s="234" customFormat="1" x14ac:dyDescent="0.35">
      <c r="A19" s="146">
        <v>17</v>
      </c>
      <c r="B19" s="146" t="s">
        <v>35</v>
      </c>
      <c r="C19" s="146" t="s">
        <v>36</v>
      </c>
      <c r="D19" s="146" t="s">
        <v>552</v>
      </c>
      <c r="E19" s="254">
        <f>Таблица191014[[#This Row],[Грунт]]+Таблица191014[[#This Row],[Щебень]]+Таблица191014[[#This Row],[Асфальт]]+Таблица191014[[#This Row],[Бетон]]</f>
        <v>1</v>
      </c>
      <c r="F19" s="311"/>
      <c r="G19" s="140">
        <v>1</v>
      </c>
      <c r="H19" s="249"/>
      <c r="I19" s="139"/>
      <c r="J19" s="232"/>
      <c r="K19" s="234" t="s">
        <v>557</v>
      </c>
      <c r="N19" s="234" t="b">
        <f>OR(Таблица191014[[#This Row],[Щебень]]&gt;0,Таблица191014[[#This Row],[Асфальт]]&gt;0,Таблица191014[[#This Row],[Бетон]]&gt;0)</f>
        <v>1</v>
      </c>
      <c r="Q19" s="234">
        <v>17</v>
      </c>
      <c r="U19" s="285"/>
      <c r="V19" s="285">
        <f>Таблица191014[[#This Row],[Грунт]]+Таблица191014[[#This Row],[Щебень]]+Таблица191014[[#This Row],[Асфальт]]+Таблица191014[[#This Row],[Бетон]]</f>
        <v>1</v>
      </c>
      <c r="W19" s="285"/>
      <c r="X19" s="285"/>
      <c r="Y19" s="285"/>
      <c r="Z19" s="285"/>
    </row>
    <row r="20" spans="1:26" s="234" customFormat="1" x14ac:dyDescent="0.35">
      <c r="A20" s="146">
        <v>18</v>
      </c>
      <c r="B20" s="146" t="s">
        <v>37</v>
      </c>
      <c r="C20" s="146" t="s">
        <v>38</v>
      </c>
      <c r="D20" s="146" t="s">
        <v>551</v>
      </c>
      <c r="E20" s="254">
        <f>Таблица191014[[#This Row],[Грунт]]+Таблица191014[[#This Row],[Щебень]]+Таблица191014[[#This Row],[Асфальт]]+Таблица191014[[#This Row],[Бетон]]</f>
        <v>2</v>
      </c>
      <c r="F20" s="311"/>
      <c r="G20" s="140">
        <v>2</v>
      </c>
      <c r="H20" s="249"/>
      <c r="I20" s="139"/>
      <c r="J20" s="232"/>
      <c r="K20" s="234">
        <v>1</v>
      </c>
      <c r="N20" s="234" t="b">
        <f>OR(Таблица191014[[#This Row],[Щебень]]&gt;0,Таблица191014[[#This Row],[Асфальт]]&gt;0,Таблица191014[[#This Row],[Бетон]]&gt;0)</f>
        <v>1</v>
      </c>
      <c r="O20" s="234">
        <v>1</v>
      </c>
      <c r="P20" s="234">
        <v>1</v>
      </c>
      <c r="Q20" s="234">
        <v>18</v>
      </c>
      <c r="U20" s="285"/>
      <c r="V20" s="285">
        <f>Таблица191014[[#This Row],[Грунт]]+Таблица191014[[#This Row],[Щебень]]+Таблица191014[[#This Row],[Асфальт]]+Таблица191014[[#This Row],[Бетон]]</f>
        <v>2</v>
      </c>
      <c r="W20" s="285"/>
      <c r="X20" s="285"/>
      <c r="Y20" s="285"/>
      <c r="Z20" s="285"/>
    </row>
    <row r="21" spans="1:26" s="234" customFormat="1" x14ac:dyDescent="0.35">
      <c r="A21" s="146">
        <v>19</v>
      </c>
      <c r="B21" s="146" t="s">
        <v>39</v>
      </c>
      <c r="C21" s="146" t="s">
        <v>40</v>
      </c>
      <c r="D21" s="146" t="s">
        <v>551</v>
      </c>
      <c r="E21" s="254">
        <f>Таблица191014[[#This Row],[Грунт]]+Таблица191014[[#This Row],[Щебень]]+Таблица191014[[#This Row],[Асфальт]]+Таблица191014[[#This Row],[Бетон]]</f>
        <v>1.5</v>
      </c>
      <c r="F21" s="311">
        <v>1.5</v>
      </c>
      <c r="G21" s="140"/>
      <c r="H21" s="249"/>
      <c r="I21" s="139"/>
      <c r="J21" s="232"/>
      <c r="K21" s="234">
        <v>1</v>
      </c>
      <c r="N21" s="234" t="b">
        <f>OR(Таблица191014[[#This Row],[Щебень]]&gt;0,Таблица191014[[#This Row],[Асфальт]]&gt;0,Таблица191014[[#This Row],[Бетон]]&gt;0)</f>
        <v>0</v>
      </c>
      <c r="Q21" s="234">
        <v>19</v>
      </c>
      <c r="U21" s="285"/>
      <c r="V21" s="285">
        <f>Таблица191014[[#This Row],[Грунт]]+Таблица191014[[#This Row],[Щебень]]+Таблица191014[[#This Row],[Асфальт]]+Таблица191014[[#This Row],[Бетон]]</f>
        <v>1.5</v>
      </c>
      <c r="W21" s="285"/>
      <c r="X21" s="285"/>
      <c r="Y21" s="285"/>
      <c r="Z21" s="285"/>
    </row>
    <row r="22" spans="1:26" s="234" customFormat="1" x14ac:dyDescent="0.35">
      <c r="A22" s="146">
        <v>20</v>
      </c>
      <c r="B22" s="146" t="s">
        <v>41</v>
      </c>
      <c r="C22" s="146" t="s">
        <v>42</v>
      </c>
      <c r="D22" s="146" t="s">
        <v>551</v>
      </c>
      <c r="E22" s="254">
        <f>Таблица191014[[#This Row],[Грунт]]+Таблица191014[[#This Row],[Щебень]]+Таблица191014[[#This Row],[Асфальт]]+Таблица191014[[#This Row],[Бетон]]</f>
        <v>1.895</v>
      </c>
      <c r="F22" s="311">
        <v>1.895</v>
      </c>
      <c r="G22" s="140"/>
      <c r="H22" s="249"/>
      <c r="I22" s="139"/>
      <c r="J22" s="232"/>
      <c r="K22" s="234" t="s">
        <v>558</v>
      </c>
      <c r="N22" s="234" t="b">
        <f>OR(Таблица191014[[#This Row],[Щебень]]&gt;0,Таблица191014[[#This Row],[Асфальт]]&gt;0,Таблица191014[[#This Row],[Бетон]]&gt;0)</f>
        <v>0</v>
      </c>
      <c r="Q22" s="234">
        <v>20</v>
      </c>
      <c r="U22" s="285"/>
      <c r="V22" s="285">
        <f>Таблица191014[[#This Row],[Грунт]]+Таблица191014[[#This Row],[Щебень]]+Таблица191014[[#This Row],[Асфальт]]+Таблица191014[[#This Row],[Бетон]]</f>
        <v>1.895</v>
      </c>
      <c r="W22" s="285"/>
      <c r="X22" s="285"/>
      <c r="Y22" s="285"/>
      <c r="Z22" s="285"/>
    </row>
    <row r="23" spans="1:26" s="234" customFormat="1" x14ac:dyDescent="0.35">
      <c r="A23" s="146">
        <v>21</v>
      </c>
      <c r="B23" s="146" t="s">
        <v>43</v>
      </c>
      <c r="C23" s="146" t="s">
        <v>44</v>
      </c>
      <c r="D23" s="146" t="s">
        <v>551</v>
      </c>
      <c r="E23" s="254">
        <f>Таблица191014[[#This Row],[Грунт]]+Таблица191014[[#This Row],[Щебень]]+Таблица191014[[#This Row],[Асфальт]]+Таблица191014[[#This Row],[Бетон]]</f>
        <v>3.036</v>
      </c>
      <c r="F23" s="311">
        <v>3.036</v>
      </c>
      <c r="G23" s="140"/>
      <c r="H23" s="249"/>
      <c r="I23" s="139"/>
      <c r="J23" s="232"/>
      <c r="K23" s="234" t="s">
        <v>558</v>
      </c>
      <c r="N23" s="234" t="b">
        <f>OR(Таблица191014[[#This Row],[Щебень]]&gt;0,Таблица191014[[#This Row],[Асфальт]]&gt;0,Таблица191014[[#This Row],[Бетон]]&gt;0)</f>
        <v>0</v>
      </c>
      <c r="Q23" s="234">
        <v>21</v>
      </c>
      <c r="U23" s="285"/>
      <c r="V23" s="285">
        <f>Таблица191014[[#This Row],[Грунт]]+Таблица191014[[#This Row],[Щебень]]+Таблица191014[[#This Row],[Асфальт]]+Таблица191014[[#This Row],[Бетон]]</f>
        <v>3.036</v>
      </c>
      <c r="W23" s="285"/>
      <c r="X23" s="285"/>
      <c r="Y23" s="285"/>
      <c r="Z23" s="285"/>
    </row>
    <row r="24" spans="1:26" s="234" customFormat="1" x14ac:dyDescent="0.35">
      <c r="A24" s="146">
        <v>22</v>
      </c>
      <c r="B24" s="146" t="s">
        <v>45</v>
      </c>
      <c r="C24" s="146" t="s">
        <v>46</v>
      </c>
      <c r="D24" s="146" t="s">
        <v>540</v>
      </c>
      <c r="E24" s="254">
        <f>Таблица191014[[#This Row],[Грунт]]+Таблица191014[[#This Row],[Щебень]]+Таблица191014[[#This Row],[Асфальт]]+Таблица191014[[#This Row],[Бетон]]</f>
        <v>1.347</v>
      </c>
      <c r="F24" s="311">
        <v>1.347</v>
      </c>
      <c r="G24" s="140"/>
      <c r="H24" s="249"/>
      <c r="I24" s="139"/>
      <c r="J24" s="232"/>
      <c r="K24" s="234" t="s">
        <v>558</v>
      </c>
      <c r="N24" s="234" t="b">
        <f>OR(Таблица191014[[#This Row],[Щебень]]&gt;0,Таблица191014[[#This Row],[Асфальт]]&gt;0,Таблица191014[[#This Row],[Бетон]]&gt;0)</f>
        <v>0</v>
      </c>
      <c r="Q24" s="234">
        <v>22</v>
      </c>
      <c r="U24" s="285"/>
      <c r="V24" s="285">
        <f>Таблица191014[[#This Row],[Грунт]]+Таблица191014[[#This Row],[Щебень]]+Таблица191014[[#This Row],[Асфальт]]+Таблица191014[[#This Row],[Бетон]]</f>
        <v>1.347</v>
      </c>
      <c r="W24" s="285"/>
      <c r="X24" s="285"/>
      <c r="Y24" s="285"/>
      <c r="Z24" s="285"/>
    </row>
    <row r="25" spans="1:26" s="234" customFormat="1" x14ac:dyDescent="0.35">
      <c r="A25" s="146">
        <v>23</v>
      </c>
      <c r="B25" s="146" t="s">
        <v>47</v>
      </c>
      <c r="C25" s="146" t="s">
        <v>48</v>
      </c>
      <c r="D25" s="146" t="s">
        <v>540</v>
      </c>
      <c r="E25" s="254">
        <f>Таблица191014[[#This Row],[Грунт]]+Таблица191014[[#This Row],[Щебень]]+Таблица191014[[#This Row],[Асфальт]]+Таблица191014[[#This Row],[Бетон]]</f>
        <v>3.38</v>
      </c>
      <c r="F25" s="311">
        <v>3.38</v>
      </c>
      <c r="G25" s="140"/>
      <c r="H25" s="249"/>
      <c r="I25" s="139"/>
      <c r="J25" s="232"/>
      <c r="K25" s="234" t="s">
        <v>558</v>
      </c>
      <c r="N25" s="234" t="b">
        <f>OR(Таблица191014[[#This Row],[Щебень]]&gt;0,Таблица191014[[#This Row],[Асфальт]]&gt;0,Таблица191014[[#This Row],[Бетон]]&gt;0)</f>
        <v>0</v>
      </c>
      <c r="Q25" s="234">
        <v>23</v>
      </c>
      <c r="U25" s="285"/>
      <c r="V25" s="285">
        <f>Таблица191014[[#This Row],[Грунт]]+Таблица191014[[#This Row],[Щебень]]+Таблица191014[[#This Row],[Асфальт]]+Таблица191014[[#This Row],[Бетон]]</f>
        <v>3.38</v>
      </c>
      <c r="W25" s="285"/>
      <c r="X25" s="285"/>
      <c r="Y25" s="285"/>
      <c r="Z25" s="285"/>
    </row>
    <row r="26" spans="1:26" s="234" customFormat="1" ht="46.5" x14ac:dyDescent="0.35">
      <c r="A26" s="146">
        <v>24</v>
      </c>
      <c r="B26" s="146" t="s">
        <v>49</v>
      </c>
      <c r="C26" s="146" t="s">
        <v>50</v>
      </c>
      <c r="D26" s="146" t="s">
        <v>540</v>
      </c>
      <c r="E26" s="254">
        <f>Таблица191014[[#This Row],[Грунт]]+Таблица191014[[#This Row],[Щебень]]+Таблица191014[[#This Row],[Асфальт]]+Таблица191014[[#This Row],[Бетон]]</f>
        <v>0.52</v>
      </c>
      <c r="F26" s="311">
        <v>0.52</v>
      </c>
      <c r="G26" s="140"/>
      <c r="H26" s="249"/>
      <c r="I26" s="139"/>
      <c r="J26" s="232"/>
      <c r="K26" s="234" t="s">
        <v>558</v>
      </c>
      <c r="N26" s="234" t="b">
        <f>OR(Таблица191014[[#This Row],[Щебень]]&gt;0,Таблица191014[[#This Row],[Асфальт]]&gt;0,Таблица191014[[#This Row],[Бетон]]&gt;0)</f>
        <v>0</v>
      </c>
      <c r="Q26" s="234">
        <v>139</v>
      </c>
      <c r="R26" s="146">
        <v>142</v>
      </c>
      <c r="S26" s="146" t="s">
        <v>270</v>
      </c>
      <c r="T26" s="146" t="s">
        <v>271</v>
      </c>
      <c r="U26" s="285" t="s">
        <v>540</v>
      </c>
      <c r="V26" s="285">
        <f>Таблица191014[[#This Row],[Грунт]]+Таблица191014[[#This Row],[Щебень]]+Таблица191014[[#This Row],[Асфальт]]+Таблица191014[[#This Row],[Бетон]]</f>
        <v>0.52</v>
      </c>
      <c r="W26" s="285">
        <v>1.1000000000000001</v>
      </c>
      <c r="X26" s="285"/>
      <c r="Y26" s="285"/>
      <c r="Z26" s="285"/>
    </row>
    <row r="27" spans="1:26" s="234" customFormat="1" x14ac:dyDescent="0.35">
      <c r="A27" s="146">
        <v>25</v>
      </c>
      <c r="B27" s="146" t="s">
        <v>51</v>
      </c>
      <c r="C27" s="146" t="s">
        <v>52</v>
      </c>
      <c r="D27" s="146" t="s">
        <v>540</v>
      </c>
      <c r="E27" s="254">
        <f>Таблица191014[[#This Row],[Грунт]]+Таблица191014[[#This Row],[Щебень]]+Таблица191014[[#This Row],[Асфальт]]+Таблица191014[[#This Row],[Бетон]]</f>
        <v>3</v>
      </c>
      <c r="F27" s="311"/>
      <c r="G27" s="140">
        <v>3</v>
      </c>
      <c r="H27" s="249"/>
      <c r="I27" s="139"/>
      <c r="J27" s="232"/>
      <c r="K27" s="234">
        <v>1</v>
      </c>
      <c r="N27" s="234" t="b">
        <f>OR(Таблица191014[[#This Row],[Щебень]]&gt;0,Таблица191014[[#This Row],[Асфальт]]&gt;0,Таблица191014[[#This Row],[Бетон]]&gt;0)</f>
        <v>1</v>
      </c>
      <c r="O27" s="234">
        <v>1</v>
      </c>
      <c r="P27" s="234">
        <v>1</v>
      </c>
      <c r="Q27" s="234">
        <v>25</v>
      </c>
      <c r="U27" s="285"/>
      <c r="V27" s="285">
        <f>Таблица191014[[#This Row],[Грунт]]+Таблица191014[[#This Row],[Щебень]]+Таблица191014[[#This Row],[Асфальт]]+Таблица191014[[#This Row],[Бетон]]</f>
        <v>3</v>
      </c>
      <c r="W27" s="285"/>
      <c r="X27" s="285"/>
      <c r="Y27" s="285"/>
      <c r="Z27" s="285"/>
    </row>
    <row r="28" spans="1:26" s="234" customFormat="1" x14ac:dyDescent="0.35">
      <c r="A28" s="146">
        <v>26</v>
      </c>
      <c r="B28" s="146" t="s">
        <v>53</v>
      </c>
      <c r="C28" s="146" t="s">
        <v>54</v>
      </c>
      <c r="D28" s="146" t="s">
        <v>540</v>
      </c>
      <c r="E28" s="254">
        <f>Таблица191014[[#This Row],[Грунт]]+Таблица191014[[#This Row],[Щебень]]+Таблица191014[[#This Row],[Асфальт]]+Таблица191014[[#This Row],[Бетон]]</f>
        <v>1.5</v>
      </c>
      <c r="F28" s="311">
        <v>1.5</v>
      </c>
      <c r="G28" s="140"/>
      <c r="H28" s="249"/>
      <c r="I28" s="139"/>
      <c r="J28" s="232"/>
      <c r="K28" s="234" t="s">
        <v>558</v>
      </c>
      <c r="N28" s="234" t="b">
        <f>OR(Таблица191014[[#This Row],[Щебень]]&gt;0,Таблица191014[[#This Row],[Асфальт]]&gt;0,Таблица191014[[#This Row],[Бетон]]&gt;0)</f>
        <v>0</v>
      </c>
      <c r="Q28" s="234">
        <v>26</v>
      </c>
      <c r="U28" s="285"/>
      <c r="V28" s="285">
        <f>Таблица191014[[#This Row],[Грунт]]+Таблица191014[[#This Row],[Щебень]]+Таблица191014[[#This Row],[Асфальт]]+Таблица191014[[#This Row],[Бетон]]</f>
        <v>1.5</v>
      </c>
      <c r="W28" s="285"/>
      <c r="X28" s="285"/>
      <c r="Y28" s="285"/>
      <c r="Z28" s="285"/>
    </row>
    <row r="29" spans="1:26" s="234" customFormat="1" x14ac:dyDescent="0.35">
      <c r="A29" s="146">
        <v>27</v>
      </c>
      <c r="B29" s="146" t="s">
        <v>55</v>
      </c>
      <c r="C29" s="146" t="s">
        <v>56</v>
      </c>
      <c r="D29" s="146" t="s">
        <v>540</v>
      </c>
      <c r="E29" s="254">
        <f>Таблица191014[[#This Row],[Грунт]]+Таблица191014[[#This Row],[Щебень]]+Таблица191014[[#This Row],[Асфальт]]+Таблица191014[[#This Row],[Бетон]]</f>
        <v>2.4079999999999999</v>
      </c>
      <c r="F29" s="311">
        <v>2.4079999999999999</v>
      </c>
      <c r="G29" s="140"/>
      <c r="H29" s="249"/>
      <c r="I29" s="139"/>
      <c r="J29" s="232"/>
      <c r="K29" s="234" t="s">
        <v>558</v>
      </c>
      <c r="N29" s="234" t="b">
        <f>OR(Таблица191014[[#This Row],[Щебень]]&gt;0,Таблица191014[[#This Row],[Асфальт]]&gt;0,Таблица191014[[#This Row],[Бетон]]&gt;0)</f>
        <v>0</v>
      </c>
      <c r="Q29" s="234">
        <v>27</v>
      </c>
      <c r="U29" s="285"/>
      <c r="V29" s="285">
        <f>Таблица191014[[#This Row],[Грунт]]+Таблица191014[[#This Row],[Щебень]]+Таблица191014[[#This Row],[Асфальт]]+Таблица191014[[#This Row],[Бетон]]</f>
        <v>2.4079999999999999</v>
      </c>
      <c r="W29" s="285"/>
      <c r="X29" s="285"/>
      <c r="Y29" s="285"/>
      <c r="Z29" s="285"/>
    </row>
    <row r="30" spans="1:26" s="234" customFormat="1" x14ac:dyDescent="0.35">
      <c r="A30" s="146">
        <v>28</v>
      </c>
      <c r="B30" s="146" t="s">
        <v>57</v>
      </c>
      <c r="C30" s="146" t="s">
        <v>58</v>
      </c>
      <c r="D30" s="146" t="s">
        <v>538</v>
      </c>
      <c r="E30" s="254">
        <f>Таблица191014[[#This Row],[Грунт]]+Таблица191014[[#This Row],[Щебень]]+Таблица191014[[#This Row],[Асфальт]]+Таблица191014[[#This Row],[Бетон]]</f>
        <v>2</v>
      </c>
      <c r="F30" s="311">
        <v>1.875</v>
      </c>
      <c r="G30" s="140">
        <v>0.125</v>
      </c>
      <c r="H30" s="249"/>
      <c r="I30" s="139"/>
      <c r="J30" s="232"/>
      <c r="K30" s="234" t="s">
        <v>558</v>
      </c>
      <c r="N30" s="234" t="b">
        <f>OR(Таблица191014[[#This Row],[Щебень]]&gt;0,Таблица191014[[#This Row],[Асфальт]]&gt;0,Таблица191014[[#This Row],[Бетон]]&gt;0)</f>
        <v>1</v>
      </c>
      <c r="O30" s="234">
        <v>1</v>
      </c>
      <c r="P30" s="234">
        <v>1</v>
      </c>
      <c r="Q30" s="234">
        <v>28</v>
      </c>
      <c r="U30" s="285"/>
      <c r="V30" s="285">
        <f>Таблица191014[[#This Row],[Грунт]]+Таблица191014[[#This Row],[Щебень]]+Таблица191014[[#This Row],[Асфальт]]+Таблица191014[[#This Row],[Бетон]]</f>
        <v>2</v>
      </c>
      <c r="W30" s="285"/>
      <c r="X30" s="285"/>
      <c r="Y30" s="285"/>
      <c r="Z30" s="285"/>
    </row>
    <row r="31" spans="1:26" s="234" customFormat="1" x14ac:dyDescent="0.35">
      <c r="A31" s="146">
        <v>29</v>
      </c>
      <c r="B31" s="146" t="s">
        <v>59</v>
      </c>
      <c r="C31" s="146" t="s">
        <v>60</v>
      </c>
      <c r="D31" s="146" t="s">
        <v>538</v>
      </c>
      <c r="E31" s="254">
        <v>1.8</v>
      </c>
      <c r="F31" s="311"/>
      <c r="G31" s="140">
        <v>1.8</v>
      </c>
      <c r="H31" s="249"/>
      <c r="I31" s="139"/>
      <c r="J31" s="232"/>
      <c r="K31" s="234" t="s">
        <v>558</v>
      </c>
      <c r="N31" s="234" t="b">
        <f>OR(Таблица191014[[#This Row],[Щебень]]&gt;0,Таблица191014[[#This Row],[Асфальт]]&gt;0,Таблица191014[[#This Row],[Бетон]]&gt;0)</f>
        <v>1</v>
      </c>
      <c r="Q31" s="234">
        <v>29</v>
      </c>
      <c r="U31" s="285"/>
      <c r="V31" s="285">
        <f>Таблица191014[[#This Row],[Грунт]]+Таблица191014[[#This Row],[Щебень]]+Таблица191014[[#This Row],[Асфальт]]+Таблица191014[[#This Row],[Бетон]]</f>
        <v>1.8</v>
      </c>
      <c r="W31" s="285"/>
      <c r="X31" s="285"/>
      <c r="Y31" s="285"/>
      <c r="Z31" s="285"/>
    </row>
    <row r="32" spans="1:26" s="234" customFormat="1" x14ac:dyDescent="0.35">
      <c r="A32" s="146">
        <v>30</v>
      </c>
      <c r="B32" s="146" t="s">
        <v>61</v>
      </c>
      <c r="C32" s="146" t="s">
        <v>62</v>
      </c>
      <c r="D32" s="146" t="s">
        <v>538</v>
      </c>
      <c r="E32" s="254">
        <f>Таблица191014[[#This Row],[Грунт]]+Таблица191014[[#This Row],[Щебень]]+Таблица191014[[#This Row],[Асфальт]]+Таблица191014[[#This Row],[Бетон]]</f>
        <v>4.0570000000000004</v>
      </c>
      <c r="F32" s="311"/>
      <c r="G32" s="140">
        <v>4.0570000000000004</v>
      </c>
      <c r="H32" s="249"/>
      <c r="I32" s="139"/>
      <c r="J32" s="232"/>
      <c r="K32" s="234" t="s">
        <v>558</v>
      </c>
      <c r="N32" s="234" t="b">
        <f>OR(Таблица191014[[#This Row],[Щебень]]&gt;0,Таблица191014[[#This Row],[Асфальт]]&gt;0,Таблица191014[[#This Row],[Бетон]]&gt;0)</f>
        <v>1</v>
      </c>
      <c r="O32" s="234">
        <v>1</v>
      </c>
      <c r="P32" s="234">
        <v>1</v>
      </c>
      <c r="Q32" s="234">
        <v>30</v>
      </c>
      <c r="U32" s="285"/>
      <c r="V32" s="285">
        <f>Таблица191014[[#This Row],[Грунт]]+Таблица191014[[#This Row],[Щебень]]+Таблица191014[[#This Row],[Асфальт]]+Таблица191014[[#This Row],[Бетон]]</f>
        <v>4.0570000000000004</v>
      </c>
      <c r="W32" s="285"/>
      <c r="X32" s="285"/>
      <c r="Y32" s="285"/>
      <c r="Z32" s="285"/>
    </row>
    <row r="33" spans="1:42" s="234" customFormat="1" ht="46.5" x14ac:dyDescent="0.35">
      <c r="A33" s="146">
        <v>31</v>
      </c>
      <c r="B33" s="146" t="s">
        <v>63</v>
      </c>
      <c r="C33" s="146" t="s">
        <v>64</v>
      </c>
      <c r="D33" s="146" t="s">
        <v>538</v>
      </c>
      <c r="E33" s="254">
        <f>Таблица191014[[#This Row],[Грунт]]+Таблица191014[[#This Row],[Щебень]]+Таблица191014[[#This Row],[Асфальт]]+Таблица191014[[#This Row],[Бетон]]</f>
        <v>2.218</v>
      </c>
      <c r="F33" s="311"/>
      <c r="G33" s="140">
        <v>2.218</v>
      </c>
      <c r="H33" s="249"/>
      <c r="I33" s="139"/>
      <c r="J33" s="232"/>
      <c r="K33" s="234" t="s">
        <v>557</v>
      </c>
      <c r="N33" s="234" t="b">
        <f>OR(Таблица191014[[#This Row],[Щебень]]&gt;0,Таблица191014[[#This Row],[Асфальт]]&gt;0,Таблица191014[[#This Row],[Бетон]]&gt;0)</f>
        <v>1</v>
      </c>
      <c r="O33" s="234">
        <v>1</v>
      </c>
      <c r="P33" s="234">
        <v>1</v>
      </c>
      <c r="Q33" s="234">
        <v>31</v>
      </c>
      <c r="U33" s="285"/>
      <c r="V33" s="285">
        <f>Таблица191014[[#This Row],[Грунт]]+Таблица191014[[#This Row],[Щебень]]+Таблица191014[[#This Row],[Асфальт]]+Таблица191014[[#This Row],[Бетон]]</f>
        <v>2.218</v>
      </c>
      <c r="W33" s="285"/>
      <c r="X33" s="285"/>
      <c r="Y33" s="285"/>
      <c r="Z33" s="285"/>
    </row>
    <row r="34" spans="1:42" s="234" customFormat="1" x14ac:dyDescent="0.35">
      <c r="A34" s="146">
        <v>32</v>
      </c>
      <c r="B34" s="146" t="s">
        <v>65</v>
      </c>
      <c r="C34" s="146" t="s">
        <v>66</v>
      </c>
      <c r="D34" s="146" t="s">
        <v>542</v>
      </c>
      <c r="E34" s="254">
        <f>Таблица191014[[#This Row],[Грунт]]+Таблица191014[[#This Row],[Щебень]]+Таблица191014[[#This Row],[Асфальт]]+Таблица191014[[#This Row],[Бетон]]</f>
        <v>3</v>
      </c>
      <c r="F34" s="311">
        <v>3</v>
      </c>
      <c r="G34" s="140"/>
      <c r="H34" s="249">
        <v>0</v>
      </c>
      <c r="I34" s="139"/>
      <c r="J34" s="232"/>
      <c r="K34" s="234">
        <v>1</v>
      </c>
      <c r="N34" s="234" t="b">
        <f>OR(Таблица191014[[#This Row],[Щебень]]&gt;0,Таблица191014[[#This Row],[Асфальт]]&gt;0,Таблица191014[[#This Row],[Бетон]]&gt;0)</f>
        <v>0</v>
      </c>
      <c r="O34" s="234">
        <v>1</v>
      </c>
      <c r="P34" s="234">
        <v>1</v>
      </c>
      <c r="Q34" s="234">
        <v>32</v>
      </c>
      <c r="U34" s="285"/>
      <c r="V34" s="285">
        <f>Таблица191014[[#This Row],[Грунт]]+Таблица191014[[#This Row],[Щебень]]+Таблица191014[[#This Row],[Асфальт]]+Таблица191014[[#This Row],[Бетон]]</f>
        <v>3</v>
      </c>
      <c r="W34" s="285"/>
      <c r="X34" s="285"/>
      <c r="Y34" s="285"/>
      <c r="Z34" s="285"/>
    </row>
    <row r="35" spans="1:42" s="234" customFormat="1" ht="46.5" x14ac:dyDescent="0.35">
      <c r="A35" s="146">
        <v>33</v>
      </c>
      <c r="B35" s="146" t="s">
        <v>67</v>
      </c>
      <c r="C35" s="146" t="s">
        <v>530</v>
      </c>
      <c r="D35" s="146" t="s">
        <v>542</v>
      </c>
      <c r="E35" s="254">
        <f>Таблица191014[[#This Row],[Грунт]]+Таблица191014[[#This Row],[Щебень]]+Таблица191014[[#This Row],[Асфальт]]+Таблица191014[[#This Row],[Бетон]]</f>
        <v>1.821</v>
      </c>
      <c r="F35" s="311">
        <v>6.0999999999999999E-2</v>
      </c>
      <c r="G35" s="140"/>
      <c r="H35" s="249">
        <v>1.76</v>
      </c>
      <c r="I35" s="139"/>
      <c r="J35" s="232"/>
      <c r="K35" s="234" t="s">
        <v>557</v>
      </c>
      <c r="N35" s="234" t="b">
        <f>OR(Таблица191014[[#This Row],[Щебень]]&gt;0,Таблица191014[[#This Row],[Асфальт]]&gt;0,Таблица191014[[#This Row],[Бетон]]&gt;0)</f>
        <v>1</v>
      </c>
      <c r="O35" s="234">
        <v>1</v>
      </c>
      <c r="P35" s="234">
        <v>1</v>
      </c>
      <c r="Q35" s="234">
        <v>33</v>
      </c>
      <c r="U35" s="285"/>
      <c r="V35" s="285">
        <f>Таблица191014[[#This Row],[Грунт]]+Таблица191014[[#This Row],[Щебень]]+Таблица191014[[#This Row],[Асфальт]]+Таблица191014[[#This Row],[Бетон]]</f>
        <v>1.821</v>
      </c>
      <c r="W35" s="285"/>
      <c r="X35" s="285"/>
      <c r="Y35" s="285"/>
      <c r="Z35" s="285"/>
    </row>
    <row r="36" spans="1:42" s="234" customFormat="1" x14ac:dyDescent="0.35">
      <c r="A36" s="146">
        <v>34</v>
      </c>
      <c r="B36" s="146" t="s">
        <v>68</v>
      </c>
      <c r="C36" s="146" t="s">
        <v>69</v>
      </c>
      <c r="D36" s="146" t="s">
        <v>542</v>
      </c>
      <c r="E36" s="254">
        <f>Таблица191014[[#This Row],[Грунт]]+Таблица191014[[#This Row],[Щебень]]+Таблица191014[[#This Row],[Асфальт]]+Таблица191014[[#This Row],[Бетон]]</f>
        <v>1.8</v>
      </c>
      <c r="F36" s="311"/>
      <c r="G36" s="140"/>
      <c r="H36" s="249">
        <v>1.8</v>
      </c>
      <c r="I36" s="139"/>
      <c r="J36" s="232"/>
      <c r="K36" s="234" t="s">
        <v>557</v>
      </c>
      <c r="N36" s="234" t="b">
        <f>OR(Таблица191014[[#This Row],[Щебень]]&gt;0,Таблица191014[[#This Row],[Асфальт]]&gt;0,Таблица191014[[#This Row],[Бетон]]&gt;0)</f>
        <v>1</v>
      </c>
      <c r="O36" s="234">
        <v>1</v>
      </c>
      <c r="P36" s="234">
        <v>1</v>
      </c>
      <c r="Q36" s="234">
        <v>34</v>
      </c>
      <c r="U36" s="285"/>
      <c r="V36" s="285">
        <f>Таблица191014[[#This Row],[Грунт]]+Таблица191014[[#This Row],[Щебень]]+Таблица191014[[#This Row],[Асфальт]]+Таблица191014[[#This Row],[Бетон]]</f>
        <v>1.8</v>
      </c>
      <c r="W36" s="285"/>
      <c r="X36" s="285"/>
      <c r="Y36" s="285"/>
      <c r="Z36" s="285"/>
    </row>
    <row r="37" spans="1:42" s="234" customFormat="1" ht="46.5" x14ac:dyDescent="0.35">
      <c r="A37" s="146">
        <v>35</v>
      </c>
      <c r="B37" s="146" t="s">
        <v>70</v>
      </c>
      <c r="C37" s="146" t="s">
        <v>531</v>
      </c>
      <c r="D37" s="146" t="s">
        <v>542</v>
      </c>
      <c r="E37" s="254">
        <v>0.16500000000000001</v>
      </c>
      <c r="F37" s="311">
        <v>0.16500000000000001</v>
      </c>
      <c r="G37" s="140"/>
      <c r="H37" s="249"/>
      <c r="I37" s="139"/>
      <c r="J37" s="232"/>
      <c r="K37" s="328"/>
      <c r="N37" s="234" t="b">
        <f>OR(Таблица191014[[#This Row],[Щебень]]&gt;0,Таблица191014[[#This Row],[Асфальт]]&gt;0,Таблица191014[[#This Row],[Бетон]]&gt;0)</f>
        <v>0</v>
      </c>
      <c r="Q37" s="234">
        <v>35</v>
      </c>
      <c r="U37" s="285"/>
      <c r="V37" s="285">
        <f>Таблица191014[[#This Row],[Грунт]]+Таблица191014[[#This Row],[Щебень]]+Таблица191014[[#This Row],[Асфальт]]+Таблица191014[[#This Row],[Бетон]]</f>
        <v>0.16500000000000001</v>
      </c>
      <c r="W37" s="285"/>
      <c r="X37" s="285"/>
      <c r="Y37" s="285"/>
      <c r="Z37" s="285"/>
    </row>
    <row r="38" spans="1:42" s="234" customFormat="1" x14ac:dyDescent="0.35">
      <c r="A38" s="146">
        <v>36</v>
      </c>
      <c r="B38" s="146" t="s">
        <v>71</v>
      </c>
      <c r="C38" s="146" t="s">
        <v>72</v>
      </c>
      <c r="D38" s="146" t="s">
        <v>542</v>
      </c>
      <c r="E38" s="254">
        <f>Таблица191014[[#This Row],[Грунт]]+Таблица191014[[#This Row],[Щебень]]+Таблица191014[[#This Row],[Асфальт]]+Таблица191014[[#This Row],[Бетон]]</f>
        <v>0.98499999999999999</v>
      </c>
      <c r="F38" s="311">
        <v>0.98499999999999999</v>
      </c>
      <c r="G38" s="140"/>
      <c r="H38" s="249"/>
      <c r="I38" s="139"/>
      <c r="J38" s="232"/>
      <c r="K38" s="234" t="s">
        <v>558</v>
      </c>
      <c r="N38" s="234" t="b">
        <f>OR(Таблица191014[[#This Row],[Щебень]]&gt;0,Таблица191014[[#This Row],[Асфальт]]&gt;0,Таблица191014[[#This Row],[Бетон]]&gt;0)</f>
        <v>0</v>
      </c>
      <c r="Q38" s="234">
        <v>36</v>
      </c>
      <c r="U38" s="285"/>
      <c r="V38" s="285">
        <f>Таблица191014[[#This Row],[Грунт]]+Таблица191014[[#This Row],[Щебень]]+Таблица191014[[#This Row],[Асфальт]]+Таблица191014[[#This Row],[Бетон]]</f>
        <v>0.98499999999999999</v>
      </c>
      <c r="W38" s="285"/>
      <c r="X38" s="285"/>
      <c r="Y38" s="285"/>
      <c r="Z38" s="285"/>
    </row>
    <row r="39" spans="1:42" s="234" customFormat="1" x14ac:dyDescent="0.35">
      <c r="A39" s="146">
        <v>37</v>
      </c>
      <c r="B39" s="146" t="s">
        <v>73</v>
      </c>
      <c r="C39" s="146" t="s">
        <v>74</v>
      </c>
      <c r="D39" s="146" t="s">
        <v>546</v>
      </c>
      <c r="E39" s="254">
        <f>Таблица191014[[#This Row],[Грунт]]+Таблица191014[[#This Row],[Щебень]]+Таблица191014[[#This Row],[Асфальт]]+Таблица191014[[#This Row],[Бетон]]</f>
        <v>1.996</v>
      </c>
      <c r="F39" s="311">
        <v>1.996</v>
      </c>
      <c r="G39" s="140"/>
      <c r="H39" s="249"/>
      <c r="I39" s="139"/>
      <c r="J39" s="232"/>
      <c r="K39" s="234" t="s">
        <v>558</v>
      </c>
      <c r="N39" s="234" t="b">
        <f>OR(Таблица191014[[#This Row],[Щебень]]&gt;0,Таблица191014[[#This Row],[Асфальт]]&gt;0,Таблица191014[[#This Row],[Бетон]]&gt;0)</f>
        <v>0</v>
      </c>
      <c r="Q39" s="234">
        <v>37</v>
      </c>
      <c r="U39" s="285"/>
      <c r="V39" s="285">
        <f>Таблица191014[[#This Row],[Грунт]]+Таблица191014[[#This Row],[Щебень]]+Таблица191014[[#This Row],[Асфальт]]+Таблица191014[[#This Row],[Бетон]]</f>
        <v>1.996</v>
      </c>
      <c r="W39" s="285"/>
      <c r="X39" s="285"/>
      <c r="Y39" s="285"/>
      <c r="Z39" s="285"/>
    </row>
    <row r="40" spans="1:42" s="234" customFormat="1" ht="46.5" customHeight="1" x14ac:dyDescent="0.35">
      <c r="A40" s="146">
        <v>38</v>
      </c>
      <c r="B40" s="146" t="s">
        <v>75</v>
      </c>
      <c r="C40" s="146" t="s">
        <v>76</v>
      </c>
      <c r="D40" s="146" t="s">
        <v>548</v>
      </c>
      <c r="E40" s="254">
        <f>Таблица191014[[#This Row],[Грунт]]+Таблица191014[[#This Row],[Щебень]]+Таблица191014[[#This Row],[Асфальт]]+Таблица191014[[#This Row],[Бетон]]</f>
        <v>2.2599999999999998</v>
      </c>
      <c r="F40" s="311">
        <v>2.2599999999999998</v>
      </c>
      <c r="G40" s="140"/>
      <c r="H40" s="249"/>
      <c r="I40" s="139"/>
      <c r="J40" s="232"/>
      <c r="K40" s="234" t="s">
        <v>558</v>
      </c>
      <c r="N40" s="234" t="b">
        <f>OR(Таблица191014[[#This Row],[Щебень]]&gt;0,Таблица191014[[#This Row],[Асфальт]]&gt;0,Таблица191014[[#This Row],[Бетон]]&gt;0)</f>
        <v>0</v>
      </c>
      <c r="Q40" s="234">
        <v>38</v>
      </c>
      <c r="U40" s="285"/>
      <c r="V40" s="285">
        <f>Таблица191014[[#This Row],[Грунт]]+Таблица191014[[#This Row],[Щебень]]+Таблица191014[[#This Row],[Асфальт]]+Таблица191014[[#This Row],[Бетон]]</f>
        <v>2.2599999999999998</v>
      </c>
      <c r="W40" s="285"/>
      <c r="X40" s="285"/>
      <c r="Y40" s="285"/>
      <c r="Z40" s="285"/>
    </row>
    <row r="41" spans="1:42" s="234" customFormat="1" ht="33.75" customHeight="1" x14ac:dyDescent="0.35">
      <c r="A41" s="146">
        <v>39</v>
      </c>
      <c r="B41" s="146" t="s">
        <v>77</v>
      </c>
      <c r="C41" s="146" t="s">
        <v>78</v>
      </c>
      <c r="D41" s="146" t="s">
        <v>546</v>
      </c>
      <c r="E41" s="254">
        <f>Таблица191014[[#This Row],[Грунт]]+Таблица191014[[#This Row],[Щебень]]+Таблица191014[[#This Row],[Асфальт]]+Таблица191014[[#This Row],[Бетон]]</f>
        <v>5</v>
      </c>
      <c r="F41" s="311"/>
      <c r="G41" s="140"/>
      <c r="H41" s="249">
        <v>5</v>
      </c>
      <c r="I41" s="139"/>
      <c r="J41" s="232"/>
      <c r="K41" s="234" t="s">
        <v>557</v>
      </c>
      <c r="N41" s="234" t="b">
        <f>OR(Таблица191014[[#This Row],[Щебень]]&gt;0,Таблица191014[[#This Row],[Асфальт]]&gt;0,Таблица191014[[#This Row],[Бетон]]&gt;0)</f>
        <v>1</v>
      </c>
      <c r="O41" s="234">
        <v>1</v>
      </c>
      <c r="P41" s="234">
        <v>1</v>
      </c>
      <c r="Q41" s="234">
        <v>39</v>
      </c>
      <c r="U41" s="285"/>
      <c r="V41" s="285">
        <f>Таблица191014[[#This Row],[Грунт]]+Таблица191014[[#This Row],[Щебень]]+Таблица191014[[#This Row],[Асфальт]]+Таблица191014[[#This Row],[Бетон]]</f>
        <v>5</v>
      </c>
      <c r="W41" s="285"/>
      <c r="X41" s="285"/>
      <c r="Y41" s="285"/>
      <c r="Z41" s="285"/>
    </row>
    <row r="42" spans="1:42" s="234" customFormat="1" ht="46.5" x14ac:dyDescent="0.35">
      <c r="A42" s="146">
        <v>40</v>
      </c>
      <c r="B42" s="146" t="s">
        <v>79</v>
      </c>
      <c r="C42" s="146" t="s">
        <v>532</v>
      </c>
      <c r="D42" s="146" t="s">
        <v>546</v>
      </c>
      <c r="E42" s="254">
        <f>Таблица191014[[#This Row],[Грунт]]+Таблица191014[[#This Row],[Щебень]]+Таблица191014[[#This Row],[Асфальт]]+Таблица191014[[#This Row],[Бетон]]</f>
        <v>1.542</v>
      </c>
      <c r="F42" s="311">
        <v>1.542</v>
      </c>
      <c r="G42" s="140"/>
      <c r="H42" s="249"/>
      <c r="I42" s="139"/>
      <c r="J42" s="232"/>
      <c r="K42" s="234" t="s">
        <v>558</v>
      </c>
      <c r="N42" s="234" t="b">
        <f>OR(Таблица191014[[#This Row],[Щебень]]&gt;0,Таблица191014[[#This Row],[Асфальт]]&gt;0,Таблица191014[[#This Row],[Бетон]]&gt;0)</f>
        <v>0</v>
      </c>
      <c r="Q42" s="234">
        <v>40</v>
      </c>
      <c r="U42" s="285"/>
      <c r="V42" s="285">
        <f>Таблица191014[[#This Row],[Грунт]]+Таблица191014[[#This Row],[Щебень]]+Таблица191014[[#This Row],[Асфальт]]+Таблица191014[[#This Row],[Бетон]]</f>
        <v>1.542</v>
      </c>
      <c r="W42" s="285"/>
      <c r="X42" s="285"/>
      <c r="Y42" s="285"/>
      <c r="Z42" s="285"/>
    </row>
    <row r="43" spans="1:42" s="234" customFormat="1" x14ac:dyDescent="0.35">
      <c r="A43" s="146">
        <v>41</v>
      </c>
      <c r="B43" s="146" t="s">
        <v>80</v>
      </c>
      <c r="C43" s="146" t="s">
        <v>81</v>
      </c>
      <c r="D43" s="146" t="s">
        <v>546</v>
      </c>
      <c r="E43" s="254">
        <f>Таблица191014[[#This Row],[Грунт]]+Таблица191014[[#This Row],[Щебень]]+Таблица191014[[#This Row],[Асфальт]]+Таблица191014[[#This Row],[Бетон]]</f>
        <v>2.0499999999999998</v>
      </c>
      <c r="F43" s="311">
        <v>0</v>
      </c>
      <c r="G43" s="140"/>
      <c r="H43" s="249">
        <v>2.0499999999999998</v>
      </c>
      <c r="I43" s="139"/>
      <c r="J43" s="232"/>
      <c r="K43" s="234" t="s">
        <v>557</v>
      </c>
      <c r="N43" s="234" t="b">
        <f>OR(Таблица191014[[#This Row],[Щебень]]&gt;0,Таблица191014[[#This Row],[Асфальт]]&gt;0,Таблица191014[[#This Row],[Бетон]]&gt;0)</f>
        <v>1</v>
      </c>
      <c r="Q43" s="234">
        <v>41</v>
      </c>
      <c r="U43" s="285"/>
      <c r="V43" s="285">
        <f>Таблица191014[[#This Row],[Грунт]]+Таблица191014[[#This Row],[Щебень]]+Таблица191014[[#This Row],[Асфальт]]+Таблица191014[[#This Row],[Бетон]]</f>
        <v>2.0499999999999998</v>
      </c>
      <c r="W43" s="285"/>
      <c r="X43" s="285"/>
      <c r="Y43" s="285"/>
      <c r="Z43" s="285"/>
    </row>
    <row r="44" spans="1:42" s="234" customFormat="1" ht="46.5" x14ac:dyDescent="0.35">
      <c r="A44" s="146">
        <v>42</v>
      </c>
      <c r="B44" s="146" t="s">
        <v>82</v>
      </c>
      <c r="C44" s="146" t="s">
        <v>83</v>
      </c>
      <c r="D44" s="146" t="s">
        <v>546</v>
      </c>
      <c r="E44" s="254">
        <f>Таблица191014[[#This Row],[Грунт]]+Таблица191014[[#This Row],[Щебень]]+Таблица191014[[#This Row],[Асфальт]]+Таблица191014[[#This Row],[Бетон]]</f>
        <v>1.677</v>
      </c>
      <c r="F44" s="311">
        <v>1.677</v>
      </c>
      <c r="G44" s="140"/>
      <c r="H44" s="249"/>
      <c r="I44" s="139"/>
      <c r="J44" s="232"/>
      <c r="K44" s="234" t="s">
        <v>558</v>
      </c>
      <c r="N44" s="234" t="b">
        <f>OR(Таблица191014[[#This Row],[Щебень]]&gt;0,Таблица191014[[#This Row],[Асфальт]]&gt;0,Таблица191014[[#This Row],[Бетон]]&gt;0)</f>
        <v>0</v>
      </c>
      <c r="Q44" s="234">
        <v>42</v>
      </c>
      <c r="U44" s="285"/>
      <c r="V44" s="285">
        <f>Таблица191014[[#This Row],[Грунт]]+Таблица191014[[#This Row],[Щебень]]+Таблица191014[[#This Row],[Асфальт]]+Таблица191014[[#This Row],[Бетон]]</f>
        <v>1.677</v>
      </c>
      <c r="W44" s="285"/>
      <c r="X44" s="285"/>
      <c r="Y44" s="285"/>
      <c r="Z44" s="285"/>
    </row>
    <row r="45" spans="1:42" s="234" customFormat="1" ht="46.5" hidden="1" x14ac:dyDescent="0.35">
      <c r="A45" s="146">
        <v>43</v>
      </c>
      <c r="B45" s="146" t="s">
        <v>84</v>
      </c>
      <c r="C45" s="146" t="s">
        <v>85</v>
      </c>
      <c r="D45" s="146" t="s">
        <v>546</v>
      </c>
      <c r="E45" s="254">
        <v>0</v>
      </c>
      <c r="F45" s="311">
        <v>0</v>
      </c>
      <c r="G45" s="140"/>
      <c r="H45" s="249"/>
      <c r="I45" s="139"/>
      <c r="J45" s="232"/>
      <c r="K45" s="328" t="s">
        <v>841</v>
      </c>
      <c r="N45" s="234" t="b">
        <f>OR(Таблица191014[[#This Row],[Щебень]]&gt;0,Таблица191014[[#This Row],[Асфальт]]&gt;0,Таблица191014[[#This Row],[Бетон]]&gt;0)</f>
        <v>0</v>
      </c>
      <c r="Q45" s="234">
        <v>43</v>
      </c>
      <c r="U45" s="285"/>
      <c r="V45" s="285">
        <f>Таблица191014[[#This Row],[Грунт]]+Таблица191014[[#This Row],[Щебень]]+Таблица191014[[#This Row],[Асфальт]]+Таблица191014[[#This Row],[Бетон]]</f>
        <v>0</v>
      </c>
      <c r="W45" s="285"/>
      <c r="X45" s="285"/>
      <c r="Y45" s="285"/>
      <c r="Z45" s="285"/>
      <c r="AH45" s="146">
        <v>43</v>
      </c>
      <c r="AI45" s="146" t="s">
        <v>84</v>
      </c>
      <c r="AJ45" s="146" t="s">
        <v>85</v>
      </c>
      <c r="AK45" s="146" t="s">
        <v>546</v>
      </c>
      <c r="AL45" s="254">
        <f>Таблица191014[[#This Row],[Грунт]]+Таблица191014[[#This Row],[Щебень]]+Таблица191014[[#This Row],[Асфальт]]+Таблица191014[[#This Row],[Бетон]]</f>
        <v>0</v>
      </c>
      <c r="AM45" s="311">
        <v>2</v>
      </c>
      <c r="AN45" s="140"/>
      <c r="AO45" s="249"/>
      <c r="AP45" s="139"/>
    </row>
    <row r="46" spans="1:42" s="234" customFormat="1" x14ac:dyDescent="0.35">
      <c r="A46" s="146">
        <v>43</v>
      </c>
      <c r="B46" s="146" t="s">
        <v>86</v>
      </c>
      <c r="C46" s="146" t="s">
        <v>87</v>
      </c>
      <c r="D46" s="146" t="s">
        <v>546</v>
      </c>
      <c r="E46" s="254">
        <f>Таблица191014[[#This Row],[Грунт]]+Таблица191014[[#This Row],[Щебень]]+Таблица191014[[#This Row],[Асфальт]]+Таблица191014[[#This Row],[Бетон]]</f>
        <v>3.5</v>
      </c>
      <c r="F46" s="311">
        <v>0</v>
      </c>
      <c r="G46" s="140"/>
      <c r="H46" s="249">
        <v>3.5</v>
      </c>
      <c r="I46" s="139"/>
      <c r="J46" s="232"/>
      <c r="K46" s="234" t="s">
        <v>557</v>
      </c>
      <c r="N46" s="234" t="b">
        <f>OR(Таблица191014[[#This Row],[Щебень]]&gt;0,Таблица191014[[#This Row],[Асфальт]]&gt;0,Таблица191014[[#This Row],[Бетон]]&gt;0)</f>
        <v>1</v>
      </c>
      <c r="O46" s="234">
        <v>1</v>
      </c>
      <c r="P46" s="234">
        <v>1</v>
      </c>
      <c r="Q46" s="234">
        <v>44</v>
      </c>
      <c r="U46" s="285"/>
      <c r="V46" s="285">
        <f>Таблица191014[[#This Row],[Грунт]]+Таблица191014[[#This Row],[Щебень]]+Таблица191014[[#This Row],[Асфальт]]+Таблица191014[[#This Row],[Бетон]]</f>
        <v>3.5</v>
      </c>
      <c r="W46" s="285"/>
      <c r="X46" s="285"/>
      <c r="Y46" s="285"/>
      <c r="Z46" s="285"/>
    </row>
    <row r="47" spans="1:42" s="234" customFormat="1" x14ac:dyDescent="0.35">
      <c r="A47" s="146">
        <v>44</v>
      </c>
      <c r="B47" s="146" t="s">
        <v>88</v>
      </c>
      <c r="C47" s="146" t="s">
        <v>89</v>
      </c>
      <c r="D47" s="146" t="s">
        <v>550</v>
      </c>
      <c r="E47" s="254">
        <f>Таблица191014[[#This Row],[Грунт]]+Таблица191014[[#This Row],[Щебень]]+Таблица191014[[#This Row],[Асфальт]]+Таблица191014[[#This Row],[Бетон]]</f>
        <v>0.4</v>
      </c>
      <c r="F47" s="311">
        <v>0.4</v>
      </c>
      <c r="G47" s="140"/>
      <c r="H47" s="249"/>
      <c r="I47" s="139"/>
      <c r="J47" s="232"/>
      <c r="K47" s="234">
        <v>1</v>
      </c>
      <c r="N47" s="234" t="b">
        <f>OR(Таблица191014[[#This Row],[Щебень]]&gt;0,Таблица191014[[#This Row],[Асфальт]]&gt;0,Таблица191014[[#This Row],[Бетон]]&gt;0)</f>
        <v>0</v>
      </c>
      <c r="Q47" s="234">
        <v>45</v>
      </c>
      <c r="U47" s="285"/>
      <c r="V47" s="285">
        <f>Таблица191014[[#This Row],[Грунт]]+Таблица191014[[#This Row],[Щебень]]+Таблица191014[[#This Row],[Асфальт]]+Таблица191014[[#This Row],[Бетон]]</f>
        <v>0.4</v>
      </c>
      <c r="W47" s="285"/>
      <c r="X47" s="285"/>
      <c r="Y47" s="285"/>
      <c r="Z47" s="285"/>
    </row>
    <row r="48" spans="1:42" s="234" customFormat="1" x14ac:dyDescent="0.35">
      <c r="A48" s="146">
        <v>45</v>
      </c>
      <c r="B48" s="146" t="s">
        <v>90</v>
      </c>
      <c r="C48" s="146" t="s">
        <v>91</v>
      </c>
      <c r="D48" s="146" t="s">
        <v>550</v>
      </c>
      <c r="E48" s="254">
        <f>Таблица191014[[#This Row],[Грунт]]+Таблица191014[[#This Row],[Щебень]]+Таблица191014[[#This Row],[Асфальт]]+Таблица191014[[#This Row],[Бетон]]</f>
        <v>0.65</v>
      </c>
      <c r="F48" s="311"/>
      <c r="G48" s="140"/>
      <c r="H48" s="249">
        <v>0.65</v>
      </c>
      <c r="I48" s="139"/>
      <c r="J48" s="232"/>
      <c r="K48" s="234" t="s">
        <v>558</v>
      </c>
      <c r="N48" s="234" t="b">
        <f>OR(Таблица191014[[#This Row],[Щебень]]&gt;0,Таблица191014[[#This Row],[Асфальт]]&gt;0,Таблица191014[[#This Row],[Бетон]]&gt;0)</f>
        <v>1</v>
      </c>
      <c r="O48" s="234">
        <v>1</v>
      </c>
      <c r="P48" s="234">
        <v>1</v>
      </c>
      <c r="Q48" s="234">
        <v>46</v>
      </c>
      <c r="U48" s="285"/>
      <c r="V48" s="285">
        <f>Таблица191014[[#This Row],[Грунт]]+Таблица191014[[#This Row],[Щебень]]+Таблица191014[[#This Row],[Асфальт]]+Таблица191014[[#This Row],[Бетон]]</f>
        <v>0.65</v>
      </c>
      <c r="W48" s="285"/>
      <c r="X48" s="285"/>
      <c r="Y48" s="285"/>
      <c r="Z48" s="285"/>
    </row>
    <row r="49" spans="1:26" s="234" customFormat="1" x14ac:dyDescent="0.35">
      <c r="A49" s="146">
        <v>46</v>
      </c>
      <c r="B49" s="146" t="s">
        <v>92</v>
      </c>
      <c r="C49" s="146" t="s">
        <v>93</v>
      </c>
      <c r="D49" s="146" t="s">
        <v>539</v>
      </c>
      <c r="E49" s="254">
        <f>Таблица191014[[#This Row],[Грунт]]+Таблица191014[[#This Row],[Щебень]]+Таблица191014[[#This Row],[Асфальт]]+Таблица191014[[#This Row],[Бетон]]</f>
        <v>2.9329999999999998</v>
      </c>
      <c r="F49" s="311">
        <v>2.9329999999999998</v>
      </c>
      <c r="G49" s="140"/>
      <c r="H49" s="249"/>
      <c r="I49" s="139"/>
      <c r="J49" s="232"/>
      <c r="K49" s="234" t="s">
        <v>558</v>
      </c>
      <c r="N49" s="234" t="b">
        <f>OR(Таблица191014[[#This Row],[Щебень]]&gt;0,Таблица191014[[#This Row],[Асфальт]]&gt;0,Таблица191014[[#This Row],[Бетон]]&gt;0)</f>
        <v>0</v>
      </c>
      <c r="Q49" s="234">
        <v>47</v>
      </c>
      <c r="U49" s="285"/>
      <c r="V49" s="285">
        <f>Таблица191014[[#This Row],[Грунт]]+Таблица191014[[#This Row],[Щебень]]+Таблица191014[[#This Row],[Асфальт]]+Таблица191014[[#This Row],[Бетон]]</f>
        <v>2.9329999999999998</v>
      </c>
      <c r="W49" s="285"/>
      <c r="X49" s="285"/>
      <c r="Y49" s="285"/>
      <c r="Z49" s="285"/>
    </row>
    <row r="50" spans="1:26" s="234" customFormat="1" x14ac:dyDescent="0.35">
      <c r="A50" s="146">
        <v>47</v>
      </c>
      <c r="B50" s="146" t="s">
        <v>94</v>
      </c>
      <c r="C50" s="146" t="s">
        <v>95</v>
      </c>
      <c r="D50" s="146" t="s">
        <v>539</v>
      </c>
      <c r="E50" s="254">
        <f>Таблица191014[[#This Row],[Грунт]]+Таблица191014[[#This Row],[Щебень]]+Таблица191014[[#This Row],[Асфальт]]+Таблица191014[[#This Row],[Бетон]]</f>
        <v>4</v>
      </c>
      <c r="F50" s="311">
        <v>4</v>
      </c>
      <c r="G50" s="140"/>
      <c r="H50" s="249"/>
      <c r="I50" s="139"/>
      <c r="J50" s="232"/>
      <c r="K50" s="234" t="s">
        <v>557</v>
      </c>
      <c r="N50" s="234" t="b">
        <f>OR(Таблица191014[[#This Row],[Щебень]]&gt;0,Таблица191014[[#This Row],[Асфальт]]&gt;0,Таблица191014[[#This Row],[Бетон]]&gt;0)</f>
        <v>0</v>
      </c>
      <c r="Q50" s="234">
        <v>48</v>
      </c>
      <c r="U50" s="285"/>
      <c r="V50" s="285">
        <f>Таблица191014[[#This Row],[Грунт]]+Таблица191014[[#This Row],[Щебень]]+Таблица191014[[#This Row],[Асфальт]]+Таблица191014[[#This Row],[Бетон]]</f>
        <v>4</v>
      </c>
      <c r="W50" s="285"/>
      <c r="X50" s="285"/>
      <c r="Y50" s="285"/>
      <c r="Z50" s="285"/>
    </row>
    <row r="51" spans="1:26" s="234" customFormat="1" x14ac:dyDescent="0.35">
      <c r="A51" s="146">
        <v>48</v>
      </c>
      <c r="B51" s="146" t="s">
        <v>96</v>
      </c>
      <c r="C51" s="146" t="s">
        <v>97</v>
      </c>
      <c r="D51" s="146" t="s">
        <v>539</v>
      </c>
      <c r="E51" s="254">
        <f>Таблица191014[[#This Row],[Грунт]]+Таблица191014[[#This Row],[Щебень]]+Таблица191014[[#This Row],[Асфальт]]+Таблица191014[[#This Row],[Бетон]]</f>
        <v>3.02</v>
      </c>
      <c r="F51" s="311">
        <v>3.02</v>
      </c>
      <c r="G51" s="140"/>
      <c r="H51" s="249"/>
      <c r="I51" s="139"/>
      <c r="J51" s="232"/>
      <c r="K51" s="234" t="s">
        <v>558</v>
      </c>
      <c r="N51" s="234" t="b">
        <f>OR(Таблица191014[[#This Row],[Щебень]]&gt;0,Таблица191014[[#This Row],[Асфальт]]&gt;0,Таблица191014[[#This Row],[Бетон]]&gt;0)</f>
        <v>0</v>
      </c>
      <c r="Q51" s="234">
        <v>49</v>
      </c>
      <c r="U51" s="285"/>
      <c r="V51" s="285">
        <f>Таблица191014[[#This Row],[Грунт]]+Таблица191014[[#This Row],[Щебень]]+Таблица191014[[#This Row],[Асфальт]]+Таблица191014[[#This Row],[Бетон]]</f>
        <v>3.02</v>
      </c>
      <c r="W51" s="285"/>
      <c r="X51" s="285"/>
      <c r="Y51" s="285"/>
      <c r="Z51" s="285"/>
    </row>
    <row r="52" spans="1:26" s="234" customFormat="1" x14ac:dyDescent="0.35">
      <c r="A52" s="146">
        <v>49</v>
      </c>
      <c r="B52" s="146" t="s">
        <v>98</v>
      </c>
      <c r="C52" s="146" t="s">
        <v>99</v>
      </c>
      <c r="D52" s="146" t="s">
        <v>539</v>
      </c>
      <c r="E52" s="254">
        <f>Таблица191014[[#This Row],[Грунт]]+Таблица191014[[#This Row],[Щебень]]+Таблица191014[[#This Row],[Асфальт]]+Таблица191014[[#This Row],[Бетон]]</f>
        <v>1.9410000000000001</v>
      </c>
      <c r="F52" s="311">
        <v>1.9410000000000001</v>
      </c>
      <c r="G52" s="140"/>
      <c r="H52" s="249"/>
      <c r="I52" s="139"/>
      <c r="J52" s="232"/>
      <c r="K52" s="234" t="s">
        <v>558</v>
      </c>
      <c r="N52" s="234" t="b">
        <f>OR(Таблица191014[[#This Row],[Щебень]]&gt;0,Таблица191014[[#This Row],[Асфальт]]&gt;0,Таблица191014[[#This Row],[Бетон]]&gt;0)</f>
        <v>0</v>
      </c>
      <c r="Q52" s="234">
        <v>50</v>
      </c>
      <c r="U52" s="285"/>
      <c r="V52" s="285">
        <f>Таблица191014[[#This Row],[Грунт]]+Таблица191014[[#This Row],[Щебень]]+Таблица191014[[#This Row],[Асфальт]]+Таблица191014[[#This Row],[Бетон]]</f>
        <v>1.9410000000000001</v>
      </c>
      <c r="W52" s="285"/>
      <c r="X52" s="285"/>
      <c r="Y52" s="285"/>
      <c r="Z52" s="285"/>
    </row>
    <row r="53" spans="1:26" s="234" customFormat="1" x14ac:dyDescent="0.35">
      <c r="A53" s="146">
        <v>50</v>
      </c>
      <c r="B53" s="146" t="s">
        <v>100</v>
      </c>
      <c r="C53" s="146" t="s">
        <v>101</v>
      </c>
      <c r="D53" s="146" t="s">
        <v>539</v>
      </c>
      <c r="E53" s="254">
        <f>Таблица191014[[#This Row],[Грунт]]+Таблица191014[[#This Row],[Щебень]]+Таблица191014[[#This Row],[Асфальт]]+Таблица191014[[#This Row],[Бетон]]</f>
        <v>2</v>
      </c>
      <c r="F53" s="311">
        <v>2</v>
      </c>
      <c r="G53" s="140"/>
      <c r="H53" s="249"/>
      <c r="I53" s="139"/>
      <c r="J53" s="232"/>
      <c r="K53" s="234">
        <v>1</v>
      </c>
      <c r="N53" s="234" t="b">
        <f>OR(Таблица191014[[#This Row],[Щебень]]&gt;0,Таблица191014[[#This Row],[Асфальт]]&gt;0,Таблица191014[[#This Row],[Бетон]]&gt;0)</f>
        <v>0</v>
      </c>
      <c r="Q53" s="234">
        <v>51</v>
      </c>
      <c r="U53" s="285"/>
      <c r="V53" s="285">
        <f>Таблица191014[[#This Row],[Грунт]]+Таблица191014[[#This Row],[Щебень]]+Таблица191014[[#This Row],[Асфальт]]+Таблица191014[[#This Row],[Бетон]]</f>
        <v>2</v>
      </c>
      <c r="W53" s="285"/>
      <c r="X53" s="285"/>
      <c r="Y53" s="285"/>
      <c r="Z53" s="285"/>
    </row>
    <row r="54" spans="1:26" s="234" customFormat="1" x14ac:dyDescent="0.35">
      <c r="A54" s="146">
        <v>51</v>
      </c>
      <c r="B54" s="146" t="s">
        <v>102</v>
      </c>
      <c r="C54" s="146" t="s">
        <v>103</v>
      </c>
      <c r="D54" s="146" t="s">
        <v>539</v>
      </c>
      <c r="E54" s="254">
        <f>Таблица191014[[#This Row],[Грунт]]+Таблица191014[[#This Row],[Щебень]]+Таблица191014[[#This Row],[Асфальт]]+Таблица191014[[#This Row],[Бетон]]</f>
        <v>3</v>
      </c>
      <c r="F54" s="311">
        <v>3</v>
      </c>
      <c r="G54" s="140"/>
      <c r="H54" s="249"/>
      <c r="I54" s="139"/>
      <c r="J54" s="232"/>
      <c r="K54" s="234">
        <v>1</v>
      </c>
      <c r="N54" s="234" t="b">
        <f>OR(Таблица191014[[#This Row],[Щебень]]&gt;0,Таблица191014[[#This Row],[Асфальт]]&gt;0,Таблица191014[[#This Row],[Бетон]]&gt;0)</f>
        <v>0</v>
      </c>
      <c r="Q54" s="234">
        <v>52</v>
      </c>
      <c r="U54" s="285"/>
      <c r="V54" s="285">
        <f>Таблица191014[[#This Row],[Грунт]]+Таблица191014[[#This Row],[Щебень]]+Таблица191014[[#This Row],[Асфальт]]+Таблица191014[[#This Row],[Бетон]]</f>
        <v>3</v>
      </c>
      <c r="W54" s="285"/>
      <c r="X54" s="285"/>
      <c r="Y54" s="285"/>
      <c r="Z54" s="285"/>
    </row>
    <row r="55" spans="1:26" s="234" customFormat="1" x14ac:dyDescent="0.35">
      <c r="A55" s="146">
        <v>52</v>
      </c>
      <c r="B55" s="146" t="s">
        <v>104</v>
      </c>
      <c r="C55" s="146" t="s">
        <v>105</v>
      </c>
      <c r="D55" s="146" t="s">
        <v>539</v>
      </c>
      <c r="E55" s="254">
        <f>Таблица191014[[#This Row],[Грунт]]+Таблица191014[[#This Row],[Щебень]]+Таблица191014[[#This Row],[Асфальт]]+Таблица191014[[#This Row],[Бетон]]</f>
        <v>1.1719999999999999</v>
      </c>
      <c r="F55" s="311">
        <v>1.1719999999999999</v>
      </c>
      <c r="G55" s="140"/>
      <c r="H55" s="249"/>
      <c r="I55" s="139"/>
      <c r="J55" s="232"/>
      <c r="K55" s="234" t="s">
        <v>558</v>
      </c>
      <c r="N55" s="234" t="b">
        <f>OR(Таблица191014[[#This Row],[Щебень]]&gt;0,Таблица191014[[#This Row],[Асфальт]]&gt;0,Таблица191014[[#This Row],[Бетон]]&gt;0)</f>
        <v>0</v>
      </c>
      <c r="Q55" s="234">
        <v>53</v>
      </c>
      <c r="U55" s="285"/>
      <c r="V55" s="285">
        <f>Таблица191014[[#This Row],[Грунт]]+Таблица191014[[#This Row],[Щебень]]+Таблица191014[[#This Row],[Асфальт]]+Таблица191014[[#This Row],[Бетон]]</f>
        <v>1.1719999999999999</v>
      </c>
      <c r="W55" s="285"/>
      <c r="X55" s="285"/>
      <c r="Y55" s="285"/>
      <c r="Z55" s="285"/>
    </row>
    <row r="56" spans="1:26" s="234" customFormat="1" x14ac:dyDescent="0.35">
      <c r="A56" s="146">
        <v>53</v>
      </c>
      <c r="B56" s="146" t="s">
        <v>106</v>
      </c>
      <c r="C56" s="146" t="s">
        <v>107</v>
      </c>
      <c r="D56" s="146" t="s">
        <v>539</v>
      </c>
      <c r="E56" s="254">
        <f>Таблица191014[[#This Row],[Грунт]]+Таблица191014[[#This Row],[Щебень]]+Таблица191014[[#This Row],[Асфальт]]+Таблица191014[[#This Row],[Бетон]]</f>
        <v>1.95</v>
      </c>
      <c r="F56" s="311">
        <v>1.95</v>
      </c>
      <c r="G56" s="140"/>
      <c r="H56" s="249"/>
      <c r="I56" s="139"/>
      <c r="J56" s="232"/>
      <c r="K56" s="234" t="s">
        <v>558</v>
      </c>
      <c r="N56" s="234" t="b">
        <f>OR(Таблица191014[[#This Row],[Щебень]]&gt;0,Таблица191014[[#This Row],[Асфальт]]&gt;0,Таблица191014[[#This Row],[Бетон]]&gt;0)</f>
        <v>0</v>
      </c>
      <c r="Q56" s="234">
        <v>54</v>
      </c>
      <c r="U56" s="285"/>
      <c r="V56" s="285">
        <f>Таблица191014[[#This Row],[Грунт]]+Таблица191014[[#This Row],[Щебень]]+Таблица191014[[#This Row],[Асфальт]]+Таблица191014[[#This Row],[Бетон]]</f>
        <v>1.95</v>
      </c>
      <c r="W56" s="285"/>
      <c r="X56" s="285"/>
      <c r="Y56" s="285"/>
      <c r="Z56" s="285"/>
    </row>
    <row r="57" spans="1:26" s="234" customFormat="1" x14ac:dyDescent="0.35">
      <c r="A57" s="146">
        <v>54</v>
      </c>
      <c r="B57" s="146" t="s">
        <v>108</v>
      </c>
      <c r="C57" s="146" t="s">
        <v>109</v>
      </c>
      <c r="D57" s="146" t="s">
        <v>539</v>
      </c>
      <c r="E57" s="254">
        <f>Таблица191014[[#This Row],[Грунт]]+Таблица191014[[#This Row],[Щебень]]+Таблица191014[[#This Row],[Асфальт]]+Таблица191014[[#This Row],[Бетон]]</f>
        <v>1.954</v>
      </c>
      <c r="F57" s="311">
        <v>1.954</v>
      </c>
      <c r="G57" s="140"/>
      <c r="H57" s="249"/>
      <c r="I57" s="139"/>
      <c r="J57" s="232"/>
      <c r="K57" s="234" t="s">
        <v>558</v>
      </c>
      <c r="N57" s="234" t="b">
        <f>OR(Таблица191014[[#This Row],[Щебень]]&gt;0,Таблица191014[[#This Row],[Асфальт]]&gt;0,Таблица191014[[#This Row],[Бетон]]&gt;0)</f>
        <v>0</v>
      </c>
      <c r="Q57" s="234">
        <v>55</v>
      </c>
      <c r="U57" s="285"/>
      <c r="V57" s="285">
        <f>Таблица191014[[#This Row],[Грунт]]+Таблица191014[[#This Row],[Щебень]]+Таблица191014[[#This Row],[Асфальт]]+Таблица191014[[#This Row],[Бетон]]</f>
        <v>1.954</v>
      </c>
      <c r="W57" s="285"/>
      <c r="X57" s="285"/>
      <c r="Y57" s="285"/>
      <c r="Z57" s="285"/>
    </row>
    <row r="58" spans="1:26" s="234" customFormat="1" x14ac:dyDescent="0.35">
      <c r="A58" s="146">
        <v>55</v>
      </c>
      <c r="B58" s="146" t="s">
        <v>110</v>
      </c>
      <c r="C58" s="146" t="s">
        <v>111</v>
      </c>
      <c r="D58" s="146" t="s">
        <v>539</v>
      </c>
      <c r="E58" s="254">
        <f>Таблица191014[[#This Row],[Грунт]]+Таблица191014[[#This Row],[Щебень]]+Таблица191014[[#This Row],[Асфальт]]+Таблица191014[[#This Row],[Бетон]]</f>
        <v>2</v>
      </c>
      <c r="F58" s="311">
        <v>2</v>
      </c>
      <c r="G58" s="140"/>
      <c r="H58" s="249"/>
      <c r="I58" s="139"/>
      <c r="J58" s="232"/>
      <c r="K58" s="234">
        <v>1</v>
      </c>
      <c r="N58" s="234" t="b">
        <f>OR(Таблица191014[[#This Row],[Щебень]]&gt;0,Таблица191014[[#This Row],[Асфальт]]&gt;0,Таблица191014[[#This Row],[Бетон]]&gt;0)</f>
        <v>0</v>
      </c>
      <c r="Q58" s="234">
        <v>56</v>
      </c>
      <c r="U58" s="285"/>
      <c r="V58" s="285">
        <f>Таблица191014[[#This Row],[Грунт]]+Таблица191014[[#This Row],[Щебень]]+Таблица191014[[#This Row],[Асфальт]]+Таблица191014[[#This Row],[Бетон]]</f>
        <v>2</v>
      </c>
      <c r="W58" s="285"/>
      <c r="X58" s="285"/>
      <c r="Y58" s="285"/>
      <c r="Z58" s="285"/>
    </row>
    <row r="59" spans="1:26" s="234" customFormat="1" x14ac:dyDescent="0.35">
      <c r="A59" s="146">
        <v>56</v>
      </c>
      <c r="B59" s="146" t="s">
        <v>112</v>
      </c>
      <c r="C59" s="146" t="s">
        <v>113</v>
      </c>
      <c r="D59" s="146" t="s">
        <v>539</v>
      </c>
      <c r="E59" s="254">
        <f>Таблица191014[[#This Row],[Грунт]]+Таблица191014[[#This Row],[Щебень]]+Таблица191014[[#This Row],[Асфальт]]+Таблица191014[[#This Row],[Бетон]]</f>
        <v>2</v>
      </c>
      <c r="F59" s="311"/>
      <c r="G59" s="140">
        <v>2</v>
      </c>
      <c r="H59" s="249"/>
      <c r="I59" s="139"/>
      <c r="J59" s="232"/>
      <c r="K59" s="234">
        <v>1</v>
      </c>
      <c r="N59" s="234" t="b">
        <f>OR(Таблица191014[[#This Row],[Щебень]]&gt;0,Таблица191014[[#This Row],[Асфальт]]&gt;0,Таблица191014[[#This Row],[Бетон]]&gt;0)</f>
        <v>1</v>
      </c>
      <c r="Q59" s="234">
        <v>57</v>
      </c>
      <c r="U59" s="285"/>
      <c r="V59" s="285">
        <f>Таблица191014[[#This Row],[Грунт]]+Таблица191014[[#This Row],[Щебень]]+Таблица191014[[#This Row],[Асфальт]]+Таблица191014[[#This Row],[Бетон]]</f>
        <v>2</v>
      </c>
      <c r="W59" s="285"/>
      <c r="X59" s="285"/>
      <c r="Y59" s="285"/>
      <c r="Z59" s="285"/>
    </row>
    <row r="60" spans="1:26" s="234" customFormat="1" ht="46.5" x14ac:dyDescent="0.35">
      <c r="A60" s="146">
        <v>57</v>
      </c>
      <c r="B60" s="146" t="s">
        <v>114</v>
      </c>
      <c r="C60" s="146" t="s">
        <v>533</v>
      </c>
      <c r="D60" s="146" t="s">
        <v>539</v>
      </c>
      <c r="E60" s="254">
        <f>Таблица191014[[#This Row],[Грунт]]+Таблица191014[[#This Row],[Щебень]]+Таблица191014[[#This Row],[Асфальт]]+Таблица191014[[#This Row],[Бетон]]</f>
        <v>4</v>
      </c>
      <c r="F60" s="311">
        <v>1.5</v>
      </c>
      <c r="G60" s="140">
        <v>2.5</v>
      </c>
      <c r="H60" s="249"/>
      <c r="I60" s="139"/>
      <c r="J60" s="232"/>
      <c r="K60" s="234" t="s">
        <v>557</v>
      </c>
      <c r="N60" s="234" t="b">
        <f>OR(Таблица191014[[#This Row],[Щебень]]&gt;0,Таблица191014[[#This Row],[Асфальт]]&gt;0,Таблица191014[[#This Row],[Бетон]]&gt;0)</f>
        <v>1</v>
      </c>
      <c r="O60" s="234">
        <v>1</v>
      </c>
      <c r="P60" s="234">
        <v>1</v>
      </c>
      <c r="Q60" s="234">
        <v>58</v>
      </c>
      <c r="U60" s="285"/>
      <c r="V60" s="285">
        <f>Таблица191014[[#This Row],[Грунт]]+Таблица191014[[#This Row],[Щебень]]+Таблица191014[[#This Row],[Асфальт]]+Таблица191014[[#This Row],[Бетон]]</f>
        <v>4</v>
      </c>
      <c r="W60" s="285"/>
      <c r="X60" s="285"/>
      <c r="Y60" s="285"/>
      <c r="Z60" s="285"/>
    </row>
    <row r="61" spans="1:26" s="234" customFormat="1" x14ac:dyDescent="0.35">
      <c r="A61" s="146">
        <v>58</v>
      </c>
      <c r="B61" s="146" t="s">
        <v>115</v>
      </c>
      <c r="C61" s="146" t="s">
        <v>116</v>
      </c>
      <c r="D61" s="146" t="s">
        <v>539</v>
      </c>
      <c r="E61" s="254">
        <f>Таблица191014[[#This Row],[Грунт]]+Таблица191014[[#This Row],[Щебень]]+Таблица191014[[#This Row],[Асфальт]]+Таблица191014[[#This Row],[Бетон]]</f>
        <v>2</v>
      </c>
      <c r="F61" s="311">
        <v>2</v>
      </c>
      <c r="G61" s="140"/>
      <c r="H61" s="249"/>
      <c r="I61" s="139"/>
      <c r="J61" s="232"/>
      <c r="K61" s="234">
        <v>1</v>
      </c>
      <c r="N61" s="234" t="b">
        <f>OR(Таблица191014[[#This Row],[Щебень]]&gt;0,Таблица191014[[#This Row],[Асфальт]]&gt;0,Таблица191014[[#This Row],[Бетон]]&gt;0)</f>
        <v>0</v>
      </c>
      <c r="Q61" s="234">
        <v>59</v>
      </c>
      <c r="U61" s="285"/>
      <c r="V61" s="285">
        <f>Таблица191014[[#This Row],[Грунт]]+Таблица191014[[#This Row],[Щебень]]+Таблица191014[[#This Row],[Асфальт]]+Таблица191014[[#This Row],[Бетон]]</f>
        <v>2</v>
      </c>
      <c r="W61" s="285"/>
      <c r="X61" s="285"/>
      <c r="Y61" s="285"/>
      <c r="Z61" s="285"/>
    </row>
    <row r="62" spans="1:26" s="234" customFormat="1" ht="46.5" x14ac:dyDescent="0.35">
      <c r="A62" s="146">
        <v>59</v>
      </c>
      <c r="B62" s="146" t="s">
        <v>117</v>
      </c>
      <c r="C62" s="146" t="s">
        <v>118</v>
      </c>
      <c r="D62" s="146" t="s">
        <v>548</v>
      </c>
      <c r="E62" s="254">
        <f>Таблица191014[[#This Row],[Грунт]]+Таблица191014[[#This Row],[Щебень]]+Таблица191014[[#This Row],[Асфальт]]+Таблица191014[[#This Row],[Бетон]]</f>
        <v>3</v>
      </c>
      <c r="F62" s="311"/>
      <c r="G62" s="140"/>
      <c r="H62" s="249">
        <v>3</v>
      </c>
      <c r="I62" s="139"/>
      <c r="J62" s="232"/>
      <c r="K62" s="234">
        <v>1</v>
      </c>
      <c r="N62" s="234" t="b">
        <f>OR(Таблица191014[[#This Row],[Щебень]]&gt;0,Таблица191014[[#This Row],[Асфальт]]&gt;0,Таблица191014[[#This Row],[Бетон]]&gt;0)</f>
        <v>1</v>
      </c>
      <c r="O62" s="234">
        <v>1</v>
      </c>
      <c r="P62" s="234">
        <v>1</v>
      </c>
      <c r="Q62" s="234">
        <v>60</v>
      </c>
      <c r="U62" s="285"/>
      <c r="V62" s="285">
        <f>Таблица191014[[#This Row],[Грунт]]+Таблица191014[[#This Row],[Щебень]]+Таблица191014[[#This Row],[Асфальт]]+Таблица191014[[#This Row],[Бетон]]</f>
        <v>3</v>
      </c>
      <c r="W62" s="285"/>
      <c r="X62" s="285"/>
      <c r="Y62" s="285"/>
      <c r="Z62" s="285"/>
    </row>
    <row r="63" spans="1:26" s="234" customFormat="1" ht="46.5" x14ac:dyDescent="0.35">
      <c r="A63" s="146">
        <v>60</v>
      </c>
      <c r="B63" s="146" t="s">
        <v>119</v>
      </c>
      <c r="C63" s="146" t="s">
        <v>120</v>
      </c>
      <c r="D63" s="146" t="s">
        <v>548</v>
      </c>
      <c r="E63" s="254">
        <f>Таблица191014[[#This Row],[Грунт]]+Таблица191014[[#This Row],[Щебень]]+Таблица191014[[#This Row],[Асфальт]]+Таблица191014[[#This Row],[Бетон]]</f>
        <v>1.5920000000000001</v>
      </c>
      <c r="F63" s="311">
        <v>1.5920000000000001</v>
      </c>
      <c r="G63" s="140"/>
      <c r="H63" s="249"/>
      <c r="I63" s="139"/>
      <c r="J63" s="232"/>
      <c r="K63" s="234" t="s">
        <v>558</v>
      </c>
      <c r="N63" s="234" t="b">
        <f>OR(Таблица191014[[#This Row],[Щебень]]&gt;0,Таблица191014[[#This Row],[Асфальт]]&gt;0,Таблица191014[[#This Row],[Бетон]]&gt;0)</f>
        <v>0</v>
      </c>
      <c r="Q63" s="234">
        <v>61</v>
      </c>
      <c r="U63" s="285"/>
      <c r="V63" s="285">
        <f>Таблица191014[[#This Row],[Грунт]]+Таблица191014[[#This Row],[Щебень]]+Таблица191014[[#This Row],[Асфальт]]+Таблица191014[[#This Row],[Бетон]]</f>
        <v>1.5920000000000001</v>
      </c>
      <c r="W63" s="285"/>
      <c r="X63" s="285"/>
      <c r="Y63" s="285"/>
      <c r="Z63" s="285"/>
    </row>
    <row r="64" spans="1:26" s="234" customFormat="1" ht="46.5" x14ac:dyDescent="0.35">
      <c r="A64" s="146">
        <v>61</v>
      </c>
      <c r="B64" s="146" t="s">
        <v>121</v>
      </c>
      <c r="C64" s="146" t="s">
        <v>122</v>
      </c>
      <c r="D64" s="146" t="s">
        <v>548</v>
      </c>
      <c r="E64" s="254">
        <f>Таблица191014[[#This Row],[Грунт]]+Таблица191014[[#This Row],[Щебень]]+Таблица191014[[#This Row],[Асфальт]]+Таблица191014[[#This Row],[Бетон]]</f>
        <v>1.5</v>
      </c>
      <c r="F64" s="311">
        <v>1.5</v>
      </c>
      <c r="G64" s="140"/>
      <c r="H64" s="249"/>
      <c r="I64" s="139"/>
      <c r="J64" s="232"/>
      <c r="K64" s="234">
        <v>1</v>
      </c>
      <c r="N64" s="234" t="b">
        <f>OR(Таблица191014[[#This Row],[Щебень]]&gt;0,Таблица191014[[#This Row],[Асфальт]]&gt;0,Таблица191014[[#This Row],[Бетон]]&gt;0)</f>
        <v>0</v>
      </c>
      <c r="Q64" s="234">
        <v>62</v>
      </c>
      <c r="U64" s="285"/>
      <c r="V64" s="285">
        <f>Таблица191014[[#This Row],[Грунт]]+Таблица191014[[#This Row],[Щебень]]+Таблица191014[[#This Row],[Асфальт]]+Таблица191014[[#This Row],[Бетон]]</f>
        <v>1.5</v>
      </c>
      <c r="W64" s="285"/>
      <c r="X64" s="285"/>
      <c r="Y64" s="285"/>
      <c r="Z64" s="285"/>
    </row>
    <row r="65" spans="1:26" s="234" customFormat="1" x14ac:dyDescent="0.35">
      <c r="A65" s="146">
        <v>62</v>
      </c>
      <c r="B65" s="146" t="s">
        <v>123</v>
      </c>
      <c r="C65" s="146" t="s">
        <v>124</v>
      </c>
      <c r="D65" s="146" t="s">
        <v>545</v>
      </c>
      <c r="E65" s="254">
        <v>2.1</v>
      </c>
      <c r="F65" s="311"/>
      <c r="G65" s="140"/>
      <c r="H65" s="249">
        <v>2.1</v>
      </c>
      <c r="I65" s="139"/>
      <c r="J65" s="232"/>
      <c r="K65" s="234" t="s">
        <v>558</v>
      </c>
      <c r="N65" s="234" t="b">
        <f>OR(Таблица191014[[#This Row],[Щебень]]&gt;0,Таблица191014[[#This Row],[Асфальт]]&gt;0,Таблица191014[[#This Row],[Бетон]]&gt;0)</f>
        <v>1</v>
      </c>
      <c r="O65" s="234">
        <v>1</v>
      </c>
      <c r="P65" s="234">
        <v>1</v>
      </c>
      <c r="Q65" s="234">
        <v>63</v>
      </c>
      <c r="U65" s="285"/>
      <c r="V65" s="285">
        <f>Таблица191014[[#This Row],[Грунт]]+Таблица191014[[#This Row],[Щебень]]+Таблица191014[[#This Row],[Асфальт]]+Таблица191014[[#This Row],[Бетон]]</f>
        <v>2.1</v>
      </c>
      <c r="W65" s="285"/>
      <c r="X65" s="285"/>
      <c r="Y65" s="285"/>
      <c r="Z65" s="285"/>
    </row>
    <row r="66" spans="1:26" s="234" customFormat="1" x14ac:dyDescent="0.35">
      <c r="A66" s="146">
        <v>63</v>
      </c>
      <c r="B66" s="146" t="s">
        <v>125</v>
      </c>
      <c r="C66" s="146" t="s">
        <v>126</v>
      </c>
      <c r="D66" s="146" t="s">
        <v>545</v>
      </c>
      <c r="E66" s="254">
        <f>Таблица191014[[#This Row],[Грунт]]+Таблица191014[[#This Row],[Щебень]]+Таблица191014[[#This Row],[Асфальт]]+Таблица191014[[#This Row],[Бетон]]</f>
        <v>2.92</v>
      </c>
      <c r="F66" s="311">
        <v>2.92</v>
      </c>
      <c r="G66" s="140"/>
      <c r="H66" s="249"/>
      <c r="I66" s="139"/>
      <c r="J66" s="232"/>
      <c r="K66" s="234" t="s">
        <v>558</v>
      </c>
      <c r="N66" s="234" t="b">
        <f>OR(Таблица191014[[#This Row],[Щебень]]&gt;0,Таблица191014[[#This Row],[Асфальт]]&gt;0,Таблица191014[[#This Row],[Бетон]]&gt;0)</f>
        <v>0</v>
      </c>
      <c r="Q66" s="234">
        <v>64</v>
      </c>
      <c r="U66" s="285"/>
      <c r="V66" s="285">
        <f>Таблица191014[[#This Row],[Грунт]]+Таблица191014[[#This Row],[Щебень]]+Таблица191014[[#This Row],[Асфальт]]+Таблица191014[[#This Row],[Бетон]]</f>
        <v>2.92</v>
      </c>
      <c r="W66" s="285"/>
      <c r="X66" s="285"/>
      <c r="Y66" s="285"/>
      <c r="Z66" s="285"/>
    </row>
    <row r="67" spans="1:26" s="234" customFormat="1" x14ac:dyDescent="0.35">
      <c r="A67" s="146">
        <v>64</v>
      </c>
      <c r="B67" s="146" t="s">
        <v>127</v>
      </c>
      <c r="C67" s="146" t="s">
        <v>128</v>
      </c>
      <c r="D67" s="146" t="s">
        <v>545</v>
      </c>
      <c r="E67" s="254">
        <f>Таблица191014[[#This Row],[Грунт]]+Таблица191014[[#This Row],[Щебень]]+Таблица191014[[#This Row],[Асфальт]]+Таблица191014[[#This Row],[Бетон]]</f>
        <v>2.4420000000000002</v>
      </c>
      <c r="F67" s="311">
        <v>2.4420000000000002</v>
      </c>
      <c r="G67" s="140"/>
      <c r="H67" s="249"/>
      <c r="I67" s="139"/>
      <c r="J67" s="232"/>
      <c r="K67" s="234" t="s">
        <v>558</v>
      </c>
      <c r="N67" s="234" t="b">
        <f>OR(Таблица191014[[#This Row],[Щебень]]&gt;0,Таблица191014[[#This Row],[Асфальт]]&gt;0,Таблица191014[[#This Row],[Бетон]]&gt;0)</f>
        <v>0</v>
      </c>
      <c r="Q67" s="234">
        <v>65</v>
      </c>
      <c r="U67" s="285"/>
      <c r="V67" s="285">
        <f>Таблица191014[[#This Row],[Грунт]]+Таблица191014[[#This Row],[Щебень]]+Таблица191014[[#This Row],[Асфальт]]+Таблица191014[[#This Row],[Бетон]]</f>
        <v>2.4420000000000002</v>
      </c>
      <c r="W67" s="285"/>
      <c r="X67" s="285"/>
      <c r="Y67" s="285"/>
      <c r="Z67" s="285"/>
    </row>
    <row r="68" spans="1:26" s="234" customFormat="1" x14ac:dyDescent="0.35">
      <c r="A68" s="146">
        <v>65</v>
      </c>
      <c r="B68" s="146" t="s">
        <v>129</v>
      </c>
      <c r="C68" s="146" t="s">
        <v>130</v>
      </c>
      <c r="D68" s="146" t="s">
        <v>545</v>
      </c>
      <c r="E68" s="254">
        <f>Таблица191014[[#This Row],[Грунт]]+Таблица191014[[#This Row],[Щебень]]+Таблица191014[[#This Row],[Асфальт]]+Таблица191014[[#This Row],[Бетон]]</f>
        <v>2</v>
      </c>
      <c r="F68" s="311"/>
      <c r="G68" s="140">
        <v>2</v>
      </c>
      <c r="H68" s="249"/>
      <c r="I68" s="139"/>
      <c r="J68" s="232"/>
      <c r="K68" s="234">
        <v>1</v>
      </c>
      <c r="N68" s="234" t="b">
        <f>OR(Таблица191014[[#This Row],[Щебень]]&gt;0,Таблица191014[[#This Row],[Асфальт]]&gt;0,Таблица191014[[#This Row],[Бетон]]&gt;0)</f>
        <v>1</v>
      </c>
      <c r="Q68" s="234">
        <v>66</v>
      </c>
      <c r="U68" s="285"/>
      <c r="V68" s="285">
        <f>Таблица191014[[#This Row],[Грунт]]+Таблица191014[[#This Row],[Щебень]]+Таблица191014[[#This Row],[Асфальт]]+Таблица191014[[#This Row],[Бетон]]</f>
        <v>2</v>
      </c>
      <c r="W68" s="285"/>
      <c r="X68" s="285"/>
      <c r="Y68" s="285"/>
      <c r="Z68" s="285"/>
    </row>
    <row r="69" spans="1:26" s="234" customFormat="1" x14ac:dyDescent="0.35">
      <c r="A69" s="146">
        <v>66</v>
      </c>
      <c r="B69" s="146" t="s">
        <v>131</v>
      </c>
      <c r="C69" s="146" t="s">
        <v>132</v>
      </c>
      <c r="D69" s="146" t="s">
        <v>545</v>
      </c>
      <c r="E69" s="254">
        <f>Таблица191014[[#This Row],[Грунт]]+Таблица191014[[#This Row],[Щебень]]+Таблица191014[[#This Row],[Асфальт]]+Таблица191014[[#This Row],[Бетон]]</f>
        <v>0.5</v>
      </c>
      <c r="F69" s="311"/>
      <c r="G69" s="140">
        <v>0.5</v>
      </c>
      <c r="H69" s="249"/>
      <c r="I69" s="139"/>
      <c r="J69" s="232"/>
      <c r="K69" s="234">
        <v>1</v>
      </c>
      <c r="N69" s="234" t="b">
        <f>OR(Таблица191014[[#This Row],[Щебень]]&gt;0,Таблица191014[[#This Row],[Асфальт]]&gt;0,Таблица191014[[#This Row],[Бетон]]&gt;0)</f>
        <v>1</v>
      </c>
      <c r="Q69" s="234">
        <v>67</v>
      </c>
      <c r="U69" s="285"/>
      <c r="V69" s="285">
        <f>Таблица191014[[#This Row],[Грунт]]+Таблица191014[[#This Row],[Щебень]]+Таблица191014[[#This Row],[Асфальт]]+Таблица191014[[#This Row],[Бетон]]</f>
        <v>0.5</v>
      </c>
      <c r="W69" s="285"/>
      <c r="X69" s="285"/>
      <c r="Y69" s="285"/>
      <c r="Z69" s="285"/>
    </row>
    <row r="70" spans="1:26" s="234" customFormat="1" x14ac:dyDescent="0.35">
      <c r="A70" s="146">
        <v>67</v>
      </c>
      <c r="B70" s="146" t="s">
        <v>133</v>
      </c>
      <c r="C70" s="146" t="s">
        <v>134</v>
      </c>
      <c r="D70" s="146" t="s">
        <v>545</v>
      </c>
      <c r="E70" s="254">
        <f>Таблица191014[[#This Row],[Грунт]]+Таблица191014[[#This Row],[Щебень]]+Таблица191014[[#This Row],[Асфальт]]+Таблица191014[[#This Row],[Бетон]]</f>
        <v>2.5219999999999998</v>
      </c>
      <c r="F70" s="311">
        <v>2.5219999999999998</v>
      </c>
      <c r="G70" s="140"/>
      <c r="H70" s="249"/>
      <c r="I70" s="139"/>
      <c r="J70" s="232"/>
      <c r="K70" s="234" t="s">
        <v>558</v>
      </c>
      <c r="N70" s="234" t="b">
        <f>OR(Таблица191014[[#This Row],[Щебень]]&gt;0,Таблица191014[[#This Row],[Асфальт]]&gt;0,Таблица191014[[#This Row],[Бетон]]&gt;0)</f>
        <v>0</v>
      </c>
      <c r="Q70" s="234">
        <v>68</v>
      </c>
      <c r="U70" s="285"/>
      <c r="V70" s="285">
        <f>Таблица191014[[#This Row],[Грунт]]+Таблица191014[[#This Row],[Щебень]]+Таблица191014[[#This Row],[Асфальт]]+Таблица191014[[#This Row],[Бетон]]</f>
        <v>2.5219999999999998</v>
      </c>
      <c r="W70" s="285"/>
      <c r="X70" s="285"/>
      <c r="Y70" s="285"/>
      <c r="Z70" s="285"/>
    </row>
    <row r="71" spans="1:26" s="234" customFormat="1" x14ac:dyDescent="0.35">
      <c r="A71" s="146">
        <v>68</v>
      </c>
      <c r="B71" s="146" t="s">
        <v>135</v>
      </c>
      <c r="C71" s="146" t="s">
        <v>136</v>
      </c>
      <c r="D71" s="146" t="s">
        <v>545</v>
      </c>
      <c r="E71" s="254">
        <f>Таблица191014[[#This Row],[Грунт]]+Таблица191014[[#This Row],[Щебень]]+Таблица191014[[#This Row],[Асфальт]]+Таблица191014[[#This Row],[Бетон]]</f>
        <v>0.22</v>
      </c>
      <c r="F71" s="311">
        <v>0.22</v>
      </c>
      <c r="G71" s="140"/>
      <c r="H71" s="249"/>
      <c r="I71" s="139"/>
      <c r="J71" s="232"/>
      <c r="K71" s="234" t="s">
        <v>558</v>
      </c>
      <c r="N71" s="234" t="b">
        <f>OR(Таблица191014[[#This Row],[Щебень]]&gt;0,Таблица191014[[#This Row],[Асфальт]]&gt;0,Таблица191014[[#This Row],[Бетон]]&gt;0)</f>
        <v>0</v>
      </c>
      <c r="Q71" s="234">
        <v>69</v>
      </c>
      <c r="U71" s="285"/>
      <c r="V71" s="285">
        <f>Таблица191014[[#This Row],[Грунт]]+Таблица191014[[#This Row],[Щебень]]+Таблица191014[[#This Row],[Асфальт]]+Таблица191014[[#This Row],[Бетон]]</f>
        <v>0.22</v>
      </c>
      <c r="W71" s="285"/>
      <c r="X71" s="285"/>
      <c r="Y71" s="285"/>
      <c r="Z71" s="285"/>
    </row>
    <row r="72" spans="1:26" s="234" customFormat="1" x14ac:dyDescent="0.35">
      <c r="A72" s="146">
        <v>69</v>
      </c>
      <c r="B72" s="146" t="s">
        <v>137</v>
      </c>
      <c r="C72" s="146" t="s">
        <v>138</v>
      </c>
      <c r="D72" s="146" t="s">
        <v>545</v>
      </c>
      <c r="E72" s="254">
        <f>Таблица191014[[#This Row],[Грунт]]+Таблица191014[[#This Row],[Щебень]]+Таблица191014[[#This Row],[Асфальт]]+Таблица191014[[#This Row],[Бетон]]</f>
        <v>1.5</v>
      </c>
      <c r="F72" s="311">
        <v>0</v>
      </c>
      <c r="G72" s="140">
        <v>1.5</v>
      </c>
      <c r="H72" s="249"/>
      <c r="I72" s="139"/>
      <c r="J72" s="232"/>
      <c r="K72" s="234">
        <v>1</v>
      </c>
      <c r="N72" s="234" t="b">
        <f>OR(Таблица191014[[#This Row],[Щебень]]&gt;0,Таблица191014[[#This Row],[Асфальт]]&gt;0,Таблица191014[[#This Row],[Бетон]]&gt;0)</f>
        <v>1</v>
      </c>
      <c r="Q72" s="234">
        <v>70</v>
      </c>
      <c r="U72" s="285"/>
      <c r="V72" s="285">
        <f>Таблица191014[[#This Row],[Грунт]]+Таблица191014[[#This Row],[Щебень]]+Таблица191014[[#This Row],[Асфальт]]+Таблица191014[[#This Row],[Бетон]]</f>
        <v>1.5</v>
      </c>
      <c r="W72" s="285"/>
      <c r="X72" s="285"/>
      <c r="Y72" s="285"/>
      <c r="Z72" s="285"/>
    </row>
    <row r="73" spans="1:26" s="234" customFormat="1" x14ac:dyDescent="0.35">
      <c r="A73" s="146">
        <v>70</v>
      </c>
      <c r="B73" s="146" t="s">
        <v>139</v>
      </c>
      <c r="C73" s="146" t="s">
        <v>140</v>
      </c>
      <c r="D73" s="146" t="s">
        <v>545</v>
      </c>
      <c r="E73" s="254">
        <f>Таблица191014[[#This Row],[Грунт]]+Таблица191014[[#This Row],[Щебень]]+Таблица191014[[#This Row],[Асфальт]]+Таблица191014[[#This Row],[Бетон]]</f>
        <v>3</v>
      </c>
      <c r="F73" s="311">
        <v>3</v>
      </c>
      <c r="G73" s="140"/>
      <c r="H73" s="249"/>
      <c r="I73" s="139"/>
      <c r="J73" s="232"/>
      <c r="K73" s="234">
        <v>1</v>
      </c>
      <c r="N73" s="234" t="b">
        <f>OR(Таблица191014[[#This Row],[Щебень]]&gt;0,Таблица191014[[#This Row],[Асфальт]]&gt;0,Таблица191014[[#This Row],[Бетон]]&gt;0)</f>
        <v>0</v>
      </c>
      <c r="Q73" s="234">
        <v>71</v>
      </c>
      <c r="U73" s="285"/>
      <c r="V73" s="285">
        <f>Таблица191014[[#This Row],[Грунт]]+Таблица191014[[#This Row],[Щебень]]+Таблица191014[[#This Row],[Асфальт]]+Таблица191014[[#This Row],[Бетон]]</f>
        <v>3</v>
      </c>
      <c r="W73" s="285"/>
      <c r="X73" s="285"/>
      <c r="Y73" s="285"/>
      <c r="Z73" s="285"/>
    </row>
    <row r="74" spans="1:26" s="234" customFormat="1" x14ac:dyDescent="0.35">
      <c r="A74" s="146">
        <v>71</v>
      </c>
      <c r="B74" s="146" t="s">
        <v>141</v>
      </c>
      <c r="C74" s="146" t="s">
        <v>142</v>
      </c>
      <c r="D74" s="146" t="s">
        <v>545</v>
      </c>
      <c r="E74" s="254">
        <f>Таблица191014[[#This Row],[Грунт]]+Таблица191014[[#This Row],[Щебень]]+Таблица191014[[#This Row],[Асфальт]]+Таблица191014[[#This Row],[Бетон]]</f>
        <v>2</v>
      </c>
      <c r="F74" s="311"/>
      <c r="G74" s="140"/>
      <c r="H74" s="249">
        <v>2</v>
      </c>
      <c r="I74" s="139"/>
      <c r="J74" s="232"/>
      <c r="K74" s="234" t="s">
        <v>557</v>
      </c>
      <c r="N74" s="234" t="b">
        <f>OR(Таблица191014[[#This Row],[Щебень]]&gt;0,Таблица191014[[#This Row],[Асфальт]]&gt;0,Таблица191014[[#This Row],[Бетон]]&gt;0)</f>
        <v>1</v>
      </c>
      <c r="Q74" s="234">
        <v>72</v>
      </c>
      <c r="U74" s="285"/>
      <c r="V74" s="285">
        <f>Таблица191014[[#This Row],[Грунт]]+Таблица191014[[#This Row],[Щебень]]+Таблица191014[[#This Row],[Асфальт]]+Таблица191014[[#This Row],[Бетон]]</f>
        <v>2</v>
      </c>
      <c r="W74" s="285"/>
      <c r="X74" s="285"/>
      <c r="Y74" s="285"/>
      <c r="Z74" s="285"/>
    </row>
    <row r="75" spans="1:26" s="234" customFormat="1" x14ac:dyDescent="0.35">
      <c r="A75" s="146">
        <v>72</v>
      </c>
      <c r="B75" s="146" t="s">
        <v>143</v>
      </c>
      <c r="C75" s="146" t="s">
        <v>144</v>
      </c>
      <c r="D75" s="146" t="s">
        <v>545</v>
      </c>
      <c r="E75" s="254">
        <f>Таблица191014[[#This Row],[Грунт]]+Таблица191014[[#This Row],[Щебень]]+Таблица191014[[#This Row],[Асфальт]]+Таблица191014[[#This Row],[Бетон]]</f>
        <v>1</v>
      </c>
      <c r="F75" s="311">
        <v>1</v>
      </c>
      <c r="G75" s="140"/>
      <c r="H75" s="249"/>
      <c r="I75" s="139"/>
      <c r="J75" s="232"/>
      <c r="K75" s="234">
        <v>1</v>
      </c>
      <c r="N75" s="234" t="b">
        <f>OR(Таблица191014[[#This Row],[Щебень]]&gt;0,Таблица191014[[#This Row],[Асфальт]]&gt;0,Таблица191014[[#This Row],[Бетон]]&gt;0)</f>
        <v>0</v>
      </c>
      <c r="Q75" s="234">
        <v>73</v>
      </c>
      <c r="U75" s="285"/>
      <c r="V75" s="285">
        <f>Таблица191014[[#This Row],[Грунт]]+Таблица191014[[#This Row],[Щебень]]+Таблица191014[[#This Row],[Асфальт]]+Таблица191014[[#This Row],[Бетон]]</f>
        <v>1</v>
      </c>
      <c r="W75" s="285"/>
      <c r="X75" s="285"/>
      <c r="Y75" s="285"/>
      <c r="Z75" s="285"/>
    </row>
    <row r="76" spans="1:26" s="234" customFormat="1" x14ac:dyDescent="0.35">
      <c r="A76" s="146">
        <v>73</v>
      </c>
      <c r="B76" s="146" t="s">
        <v>145</v>
      </c>
      <c r="C76" s="146" t="s">
        <v>146</v>
      </c>
      <c r="D76" s="146" t="s">
        <v>543</v>
      </c>
      <c r="E76" s="254">
        <f>Таблица191014[[#This Row],[Грунт]]+Таблица191014[[#This Row],[Щебень]]+Таблица191014[[#This Row],[Асфальт]]+Таблица191014[[#This Row],[Бетон]]</f>
        <v>1.5</v>
      </c>
      <c r="F76" s="311">
        <v>0.2</v>
      </c>
      <c r="G76" s="140"/>
      <c r="H76" s="249">
        <v>1.3</v>
      </c>
      <c r="I76" s="139"/>
      <c r="J76" s="232"/>
      <c r="K76" s="234" t="s">
        <v>557</v>
      </c>
      <c r="N76" s="234" t="b">
        <f>OR(Таблица191014[[#This Row],[Щебень]]&gt;0,Таблица191014[[#This Row],[Асфальт]]&gt;0,Таблица191014[[#This Row],[Бетон]]&gt;0)</f>
        <v>1</v>
      </c>
      <c r="Q76" s="234">
        <v>74</v>
      </c>
      <c r="U76" s="285"/>
      <c r="V76" s="285">
        <f>Таблица191014[[#This Row],[Грунт]]+Таблица191014[[#This Row],[Щебень]]+Таблица191014[[#This Row],[Асфальт]]+Таблица191014[[#This Row],[Бетон]]</f>
        <v>1.5</v>
      </c>
      <c r="W76" s="285"/>
      <c r="X76" s="285"/>
      <c r="Y76" s="285"/>
      <c r="Z76" s="285"/>
    </row>
    <row r="77" spans="1:26" s="234" customFormat="1" x14ac:dyDescent="0.35">
      <c r="A77" s="146">
        <v>74</v>
      </c>
      <c r="B77" s="146" t="s">
        <v>147</v>
      </c>
      <c r="C77" s="146" t="s">
        <v>148</v>
      </c>
      <c r="D77" s="146" t="s">
        <v>543</v>
      </c>
      <c r="E77" s="254">
        <f>Таблица191014[[#This Row],[Грунт]]+Таблица191014[[#This Row],[Щебень]]+Таблица191014[[#This Row],[Асфальт]]+Таблица191014[[#This Row],[Бетон]]</f>
        <v>4</v>
      </c>
      <c r="F77" s="311">
        <v>4</v>
      </c>
      <c r="G77" s="140"/>
      <c r="H77" s="249"/>
      <c r="I77" s="139"/>
      <c r="J77" s="232"/>
      <c r="K77" s="234">
        <v>1</v>
      </c>
      <c r="N77" s="234" t="b">
        <f>OR(Таблица191014[[#This Row],[Щебень]]&gt;0,Таблица191014[[#This Row],[Асфальт]]&gt;0,Таблица191014[[#This Row],[Бетон]]&gt;0)</f>
        <v>0</v>
      </c>
      <c r="Q77" s="234">
        <v>75</v>
      </c>
      <c r="U77" s="285"/>
      <c r="V77" s="285">
        <f>Таблица191014[[#This Row],[Грунт]]+Таблица191014[[#This Row],[Щебень]]+Таблица191014[[#This Row],[Асфальт]]+Таблица191014[[#This Row],[Бетон]]</f>
        <v>4</v>
      </c>
      <c r="W77" s="285"/>
      <c r="X77" s="285"/>
      <c r="Y77" s="285"/>
      <c r="Z77" s="285"/>
    </row>
    <row r="78" spans="1:26" s="234" customFormat="1" x14ac:dyDescent="0.35">
      <c r="A78" s="146">
        <v>75</v>
      </c>
      <c r="B78" s="146" t="s">
        <v>149</v>
      </c>
      <c r="C78" s="146" t="s">
        <v>150</v>
      </c>
      <c r="D78" s="146" t="s">
        <v>543</v>
      </c>
      <c r="E78" s="254">
        <f>Таблица191014[[#This Row],[Грунт]]+Таблица191014[[#This Row],[Щебень]]+Таблица191014[[#This Row],[Асфальт]]+Таблица191014[[#This Row],[Бетон]]</f>
        <v>0.5</v>
      </c>
      <c r="F78" s="311">
        <v>0.5</v>
      </c>
      <c r="G78" s="140"/>
      <c r="H78" s="249"/>
      <c r="I78" s="139"/>
      <c r="J78" s="232"/>
      <c r="K78" s="234">
        <v>1</v>
      </c>
      <c r="N78" s="234" t="b">
        <f>OR(Таблица191014[[#This Row],[Щебень]]&gt;0,Таблица191014[[#This Row],[Асфальт]]&gt;0,Таблица191014[[#This Row],[Бетон]]&gt;0)</f>
        <v>0</v>
      </c>
      <c r="Q78" s="234">
        <v>76</v>
      </c>
      <c r="U78" s="285"/>
      <c r="V78" s="285">
        <f>Таблица191014[[#This Row],[Грунт]]+Таблица191014[[#This Row],[Щебень]]+Таблица191014[[#This Row],[Асфальт]]+Таблица191014[[#This Row],[Бетон]]</f>
        <v>0.5</v>
      </c>
      <c r="W78" s="285"/>
      <c r="X78" s="285"/>
      <c r="Y78" s="285"/>
      <c r="Z78" s="285"/>
    </row>
    <row r="79" spans="1:26" s="234" customFormat="1" x14ac:dyDescent="0.35">
      <c r="A79" s="146">
        <v>76</v>
      </c>
      <c r="B79" s="146" t="s">
        <v>151</v>
      </c>
      <c r="C79" s="146" t="s">
        <v>152</v>
      </c>
      <c r="D79" s="146" t="s">
        <v>543</v>
      </c>
      <c r="E79" s="254">
        <f>Таблица191014[[#This Row],[Грунт]]+Таблица191014[[#This Row],[Щебень]]+Таблица191014[[#This Row],[Асфальт]]+Таблица191014[[#This Row],[Бетон]]</f>
        <v>1</v>
      </c>
      <c r="F79" s="311"/>
      <c r="G79" s="140"/>
      <c r="H79" s="249">
        <v>1</v>
      </c>
      <c r="I79" s="139"/>
      <c r="J79" s="232"/>
      <c r="K79" s="234">
        <v>1</v>
      </c>
      <c r="N79" s="234" t="b">
        <f>OR(Таблица191014[[#This Row],[Щебень]]&gt;0,Таблица191014[[#This Row],[Асфальт]]&gt;0,Таблица191014[[#This Row],[Бетон]]&gt;0)</f>
        <v>1</v>
      </c>
      <c r="O79" s="234">
        <v>1</v>
      </c>
      <c r="Q79" s="234">
        <v>77</v>
      </c>
      <c r="U79" s="285"/>
      <c r="V79" s="285">
        <f>Таблица191014[[#This Row],[Грунт]]+Таблица191014[[#This Row],[Щебень]]+Таблица191014[[#This Row],[Асфальт]]+Таблица191014[[#This Row],[Бетон]]</f>
        <v>1</v>
      </c>
      <c r="W79" s="285"/>
      <c r="X79" s="285"/>
      <c r="Y79" s="285"/>
      <c r="Z79" s="285"/>
    </row>
    <row r="80" spans="1:26" s="234" customFormat="1" ht="46.5" x14ac:dyDescent="0.35">
      <c r="A80" s="146">
        <v>77</v>
      </c>
      <c r="B80" s="146" t="s">
        <v>153</v>
      </c>
      <c r="C80" s="146" t="s">
        <v>154</v>
      </c>
      <c r="D80" s="146" t="s">
        <v>543</v>
      </c>
      <c r="E80" s="254">
        <f>Таблица191014[[#This Row],[Грунт]]+Таблица191014[[#This Row],[Щебень]]+Таблица191014[[#This Row],[Асфальт]]+Таблица191014[[#This Row],[Бетон]]</f>
        <v>7</v>
      </c>
      <c r="F80" s="311"/>
      <c r="G80" s="140"/>
      <c r="H80" s="249">
        <v>7</v>
      </c>
      <c r="I80" s="139"/>
      <c r="J80" s="232"/>
      <c r="K80" s="234" t="s">
        <v>557</v>
      </c>
      <c r="N80" s="234" t="b">
        <f>OR(Таблица191014[[#This Row],[Щебень]]&gt;0,Таблица191014[[#This Row],[Асфальт]]&gt;0,Таблица191014[[#This Row],[Бетон]]&gt;0)</f>
        <v>1</v>
      </c>
      <c r="Q80" s="234">
        <v>78</v>
      </c>
      <c r="U80" s="285"/>
      <c r="V80" s="285">
        <f>Таблица191014[[#This Row],[Грунт]]+Таблица191014[[#This Row],[Щебень]]+Таблица191014[[#This Row],[Асфальт]]+Таблица191014[[#This Row],[Бетон]]</f>
        <v>7</v>
      </c>
      <c r="W80" s="285"/>
      <c r="X80" s="285"/>
      <c r="Y80" s="285"/>
      <c r="Z80" s="285"/>
    </row>
    <row r="81" spans="1:26" s="234" customFormat="1" x14ac:dyDescent="0.35">
      <c r="A81" s="146">
        <v>78</v>
      </c>
      <c r="B81" s="146" t="s">
        <v>155</v>
      </c>
      <c r="C81" s="146" t="s">
        <v>156</v>
      </c>
      <c r="D81" s="146" t="s">
        <v>543</v>
      </c>
      <c r="E81" s="254">
        <f>Таблица191014[[#This Row],[Грунт]]+Таблица191014[[#This Row],[Щебень]]+Таблица191014[[#This Row],[Асфальт]]+Таблица191014[[#This Row],[Бетон]]</f>
        <v>1.9830000000000001</v>
      </c>
      <c r="F81" s="311">
        <v>1.9830000000000001</v>
      </c>
      <c r="G81" s="140"/>
      <c r="H81" s="249"/>
      <c r="I81" s="139"/>
      <c r="J81" s="232"/>
      <c r="K81" s="234" t="s">
        <v>558</v>
      </c>
      <c r="N81" s="234" t="b">
        <f>OR(Таблица191014[[#This Row],[Щебень]]&gt;0,Таблица191014[[#This Row],[Асфальт]]&gt;0,Таблица191014[[#This Row],[Бетон]]&gt;0)</f>
        <v>0</v>
      </c>
      <c r="Q81" s="234">
        <v>79</v>
      </c>
      <c r="U81" s="285"/>
      <c r="V81" s="285">
        <f>Таблица191014[[#This Row],[Грунт]]+Таблица191014[[#This Row],[Щебень]]+Таблица191014[[#This Row],[Асфальт]]+Таблица191014[[#This Row],[Бетон]]</f>
        <v>1.9830000000000001</v>
      </c>
      <c r="W81" s="285"/>
      <c r="X81" s="285"/>
      <c r="Y81" s="285"/>
      <c r="Z81" s="285"/>
    </row>
    <row r="82" spans="1:26" s="234" customFormat="1" x14ac:dyDescent="0.35">
      <c r="A82" s="146">
        <v>79</v>
      </c>
      <c r="B82" s="146" t="s">
        <v>157</v>
      </c>
      <c r="C82" s="146" t="s">
        <v>158</v>
      </c>
      <c r="D82" s="146" t="s">
        <v>543</v>
      </c>
      <c r="E82" s="254">
        <f>Таблица191014[[#This Row],[Грунт]]+Таблица191014[[#This Row],[Щебень]]+Таблица191014[[#This Row],[Асфальт]]+Таблица191014[[#This Row],[Бетон]]</f>
        <v>1.5</v>
      </c>
      <c r="F82" s="311">
        <v>1.5</v>
      </c>
      <c r="G82" s="140"/>
      <c r="H82" s="249"/>
      <c r="I82" s="139"/>
      <c r="J82" s="232"/>
      <c r="K82" s="234">
        <v>1</v>
      </c>
      <c r="N82" s="234" t="b">
        <f>OR(Таблица191014[[#This Row],[Щебень]]&gt;0,Таблица191014[[#This Row],[Асфальт]]&gt;0,Таблица191014[[#This Row],[Бетон]]&gt;0)</f>
        <v>0</v>
      </c>
      <c r="Q82" s="234">
        <v>80</v>
      </c>
      <c r="U82" s="285"/>
      <c r="V82" s="285">
        <f>Таблица191014[[#This Row],[Грунт]]+Таблица191014[[#This Row],[Щебень]]+Таблица191014[[#This Row],[Асфальт]]+Таблица191014[[#This Row],[Бетон]]</f>
        <v>1.5</v>
      </c>
      <c r="W82" s="285"/>
      <c r="X82" s="285"/>
      <c r="Y82" s="285"/>
      <c r="Z82" s="285"/>
    </row>
    <row r="83" spans="1:26" s="234" customFormat="1" x14ac:dyDescent="0.35">
      <c r="A83" s="146">
        <v>80</v>
      </c>
      <c r="B83" s="146" t="s">
        <v>159</v>
      </c>
      <c r="C83" s="146" t="s">
        <v>160</v>
      </c>
      <c r="D83" s="146" t="s">
        <v>543</v>
      </c>
      <c r="E83" s="254">
        <f>Таблица191014[[#This Row],[Грунт]]+Таблица191014[[#This Row],[Щебень]]+Таблица191014[[#This Row],[Асфальт]]+Таблица191014[[#This Row],[Бетон]]</f>
        <v>2.8650000000000002</v>
      </c>
      <c r="F83" s="311">
        <v>2.8650000000000002</v>
      </c>
      <c r="G83" s="140"/>
      <c r="H83" s="249"/>
      <c r="I83" s="139"/>
      <c r="J83" s="232"/>
      <c r="K83" s="234" t="s">
        <v>558</v>
      </c>
      <c r="N83" s="234" t="b">
        <f>OR(Таблица191014[[#This Row],[Щебень]]&gt;0,Таблица191014[[#This Row],[Асфальт]]&gt;0,Таблица191014[[#This Row],[Бетон]]&gt;0)</f>
        <v>0</v>
      </c>
      <c r="Q83" s="234">
        <v>81</v>
      </c>
      <c r="U83" s="285"/>
      <c r="V83" s="285">
        <f>Таблица191014[[#This Row],[Грунт]]+Таблица191014[[#This Row],[Щебень]]+Таблица191014[[#This Row],[Асфальт]]+Таблица191014[[#This Row],[Бетон]]</f>
        <v>2.8650000000000002</v>
      </c>
      <c r="W83" s="285"/>
      <c r="X83" s="285"/>
      <c r="Y83" s="285"/>
      <c r="Z83" s="285"/>
    </row>
    <row r="84" spans="1:26" s="234" customFormat="1" x14ac:dyDescent="0.35">
      <c r="A84" s="146">
        <v>81</v>
      </c>
      <c r="B84" s="146" t="s">
        <v>161</v>
      </c>
      <c r="C84" s="146" t="s">
        <v>162</v>
      </c>
      <c r="D84" s="146" t="s">
        <v>543</v>
      </c>
      <c r="E84" s="254">
        <f>Таблица191014[[#This Row],[Грунт]]+Таблица191014[[#This Row],[Щебень]]+Таблица191014[[#This Row],[Асфальт]]+Таблица191014[[#This Row],[Бетон]]</f>
        <v>2.169</v>
      </c>
      <c r="F84" s="311">
        <v>2.169</v>
      </c>
      <c r="G84" s="140"/>
      <c r="H84" s="249"/>
      <c r="I84" s="139"/>
      <c r="J84" s="232"/>
      <c r="K84" s="234" t="s">
        <v>558</v>
      </c>
      <c r="N84" s="234" t="b">
        <f>OR(Таблица191014[[#This Row],[Щебень]]&gt;0,Таблица191014[[#This Row],[Асфальт]]&gt;0,Таблица191014[[#This Row],[Бетон]]&gt;0)</f>
        <v>0</v>
      </c>
      <c r="Q84" s="234">
        <v>82</v>
      </c>
      <c r="U84" s="285"/>
      <c r="V84" s="285">
        <f>Таблица191014[[#This Row],[Грунт]]+Таблица191014[[#This Row],[Щебень]]+Таблица191014[[#This Row],[Асфальт]]+Таблица191014[[#This Row],[Бетон]]</f>
        <v>2.169</v>
      </c>
      <c r="W84" s="285"/>
      <c r="X84" s="285"/>
      <c r="Y84" s="285"/>
      <c r="Z84" s="285"/>
    </row>
    <row r="85" spans="1:26" s="234" customFormat="1" x14ac:dyDescent="0.35">
      <c r="A85" s="146">
        <v>82</v>
      </c>
      <c r="B85" s="146" t="s">
        <v>163</v>
      </c>
      <c r="C85" s="146" t="s">
        <v>164</v>
      </c>
      <c r="D85" s="146" t="s">
        <v>571</v>
      </c>
      <c r="E85" s="254">
        <f>Таблица191014[[#This Row],[Грунт]]+Таблица191014[[#This Row],[Щебень]]+Таблица191014[[#This Row],[Асфальт]]+Таблица191014[[#This Row],[Бетон]]</f>
        <v>5</v>
      </c>
      <c r="F85" s="311"/>
      <c r="G85" s="140">
        <v>5</v>
      </c>
      <c r="H85" s="249"/>
      <c r="I85" s="139"/>
      <c r="J85" s="232"/>
      <c r="K85" s="234" t="s">
        <v>557</v>
      </c>
      <c r="N85" s="234" t="b">
        <f>OR(Таблица191014[[#This Row],[Щебень]]&gt;0,Таблица191014[[#This Row],[Асфальт]]&gt;0,Таблица191014[[#This Row],[Бетон]]&gt;0)</f>
        <v>1</v>
      </c>
      <c r="Q85" s="234">
        <v>83</v>
      </c>
      <c r="U85" s="285"/>
      <c r="V85" s="285">
        <f>Таблица191014[[#This Row],[Грунт]]+Таблица191014[[#This Row],[Щебень]]+Таблица191014[[#This Row],[Асфальт]]+Таблица191014[[#This Row],[Бетон]]</f>
        <v>5</v>
      </c>
      <c r="W85" s="285"/>
      <c r="X85" s="285"/>
      <c r="Y85" s="285"/>
      <c r="Z85" s="285"/>
    </row>
    <row r="86" spans="1:26" s="234" customFormat="1" x14ac:dyDescent="0.35">
      <c r="A86" s="146">
        <v>83</v>
      </c>
      <c r="B86" s="146" t="s">
        <v>165</v>
      </c>
      <c r="C86" s="146" t="s">
        <v>166</v>
      </c>
      <c r="D86" s="146" t="s">
        <v>571</v>
      </c>
      <c r="E86" s="254">
        <f>Таблица191014[[#This Row],[Грунт]]+Таблица191014[[#This Row],[Щебень]]+Таблица191014[[#This Row],[Асфальт]]+Таблица191014[[#This Row],[Бетон]]</f>
        <v>2</v>
      </c>
      <c r="F86" s="311"/>
      <c r="G86" s="140">
        <v>2</v>
      </c>
      <c r="H86" s="249"/>
      <c r="I86" s="139"/>
      <c r="J86" s="232"/>
      <c r="K86" s="234" t="s">
        <v>557</v>
      </c>
      <c r="N86" s="234" t="b">
        <f>OR(Таблица191014[[#This Row],[Щебень]]&gt;0,Таблица191014[[#This Row],[Асфальт]]&gt;0,Таблица191014[[#This Row],[Бетон]]&gt;0)</f>
        <v>1</v>
      </c>
      <c r="Q86" s="234">
        <v>84</v>
      </c>
      <c r="U86" s="285"/>
      <c r="V86" s="285">
        <f>Таблица191014[[#This Row],[Грунт]]+Таблица191014[[#This Row],[Щебень]]+Таблица191014[[#This Row],[Асфальт]]+Таблица191014[[#This Row],[Бетон]]</f>
        <v>2</v>
      </c>
      <c r="W86" s="285"/>
      <c r="X86" s="285"/>
      <c r="Y86" s="285"/>
      <c r="Z86" s="285"/>
    </row>
    <row r="87" spans="1:26" s="234" customFormat="1" x14ac:dyDescent="0.35">
      <c r="A87" s="146">
        <v>84</v>
      </c>
      <c r="B87" s="146" t="s">
        <v>167</v>
      </c>
      <c r="C87" s="146" t="s">
        <v>168</v>
      </c>
      <c r="D87" s="146" t="s">
        <v>571</v>
      </c>
      <c r="E87" s="254">
        <f>Таблица191014[[#This Row],[Грунт]]+Таблица191014[[#This Row],[Щебень]]+Таблица191014[[#This Row],[Асфальт]]+Таблица191014[[#This Row],[Бетон]]</f>
        <v>0.5</v>
      </c>
      <c r="F87" s="311">
        <v>0.5</v>
      </c>
      <c r="G87" s="140"/>
      <c r="H87" s="249"/>
      <c r="I87" s="139"/>
      <c r="J87" s="232"/>
      <c r="K87" s="234">
        <v>1</v>
      </c>
      <c r="N87" s="234" t="b">
        <f>OR(Таблица191014[[#This Row],[Щебень]]&gt;0,Таблица191014[[#This Row],[Асфальт]]&gt;0,Таблица191014[[#This Row],[Бетон]]&gt;0)</f>
        <v>0</v>
      </c>
      <c r="Q87" s="234">
        <v>85</v>
      </c>
      <c r="U87" s="285"/>
      <c r="V87" s="285">
        <f>Таблица191014[[#This Row],[Грунт]]+Таблица191014[[#This Row],[Щебень]]+Таблица191014[[#This Row],[Асфальт]]+Таблица191014[[#This Row],[Бетон]]</f>
        <v>0.5</v>
      </c>
      <c r="W87" s="285"/>
      <c r="X87" s="285"/>
      <c r="Y87" s="285"/>
      <c r="Z87" s="285"/>
    </row>
    <row r="88" spans="1:26" s="234" customFormat="1" x14ac:dyDescent="0.35">
      <c r="A88" s="146">
        <v>85</v>
      </c>
      <c r="B88" s="146" t="s">
        <v>169</v>
      </c>
      <c r="C88" s="146" t="s">
        <v>170</v>
      </c>
      <c r="D88" s="146" t="s">
        <v>571</v>
      </c>
      <c r="E88" s="254">
        <v>1.6419999999999999</v>
      </c>
      <c r="F88" s="311">
        <v>1.6419999999999999</v>
      </c>
      <c r="G88" s="140"/>
      <c r="H88" s="249"/>
      <c r="I88" s="139"/>
      <c r="J88" s="232"/>
      <c r="K88" s="234" t="s">
        <v>558</v>
      </c>
      <c r="N88" s="234" t="b">
        <f>OR(Таблица191014[[#This Row],[Щебень]]&gt;0,Таблица191014[[#This Row],[Асфальт]]&gt;0,Таблица191014[[#This Row],[Бетон]]&gt;0)</f>
        <v>0</v>
      </c>
      <c r="O88" s="234" t="s">
        <v>569</v>
      </c>
      <c r="Q88" s="234">
        <v>86</v>
      </c>
      <c r="U88" s="285"/>
      <c r="V88" s="285">
        <f>Таблица191014[[#This Row],[Грунт]]+Таблица191014[[#This Row],[Щебень]]+Таблица191014[[#This Row],[Асфальт]]+Таблица191014[[#This Row],[Бетон]]</f>
        <v>1.6419999999999999</v>
      </c>
      <c r="W88" s="285"/>
      <c r="X88" s="285"/>
      <c r="Y88" s="285"/>
      <c r="Z88" s="285"/>
    </row>
    <row r="89" spans="1:26" s="234" customFormat="1" x14ac:dyDescent="0.35">
      <c r="A89" s="146">
        <v>86</v>
      </c>
      <c r="B89" s="146" t="s">
        <v>171</v>
      </c>
      <c r="C89" s="146" t="s">
        <v>172</v>
      </c>
      <c r="D89" s="146" t="s">
        <v>571</v>
      </c>
      <c r="E89" s="254">
        <f>Таблица191014[[#This Row],[Грунт]]+Таблица191014[[#This Row],[Щебень]]+Таблица191014[[#This Row],[Асфальт]]+Таблица191014[[#This Row],[Бетон]]</f>
        <v>1.849</v>
      </c>
      <c r="F89" s="311">
        <v>1.849</v>
      </c>
      <c r="G89" s="140"/>
      <c r="H89" s="249"/>
      <c r="I89" s="139"/>
      <c r="J89" s="232"/>
      <c r="K89" s="234" t="s">
        <v>558</v>
      </c>
      <c r="N89" s="234" t="b">
        <f>OR(Таблица191014[[#This Row],[Щебень]]&gt;0,Таблица191014[[#This Row],[Асфальт]]&gt;0,Таблица191014[[#This Row],[Бетон]]&gt;0)</f>
        <v>0</v>
      </c>
      <c r="Q89" s="234">
        <v>87</v>
      </c>
      <c r="U89" s="285"/>
      <c r="V89" s="285">
        <f>Таблица191014[[#This Row],[Грунт]]+Таблица191014[[#This Row],[Щебень]]+Таблица191014[[#This Row],[Асфальт]]+Таблица191014[[#This Row],[Бетон]]</f>
        <v>1.849</v>
      </c>
      <c r="W89" s="285"/>
      <c r="X89" s="285"/>
      <c r="Y89" s="285"/>
      <c r="Z89" s="285"/>
    </row>
    <row r="90" spans="1:26" s="234" customFormat="1" x14ac:dyDescent="0.35">
      <c r="A90" s="146">
        <v>87</v>
      </c>
      <c r="B90" s="146" t="s">
        <v>173</v>
      </c>
      <c r="C90" s="146" t="s">
        <v>174</v>
      </c>
      <c r="D90" s="146" t="s">
        <v>571</v>
      </c>
      <c r="E90" s="254">
        <f>Таблица191014[[#This Row],[Грунт]]+Таблица191014[[#This Row],[Щебень]]+Таблица191014[[#This Row],[Асфальт]]+Таблица191014[[#This Row],[Бетон]]</f>
        <v>1.8620000000000001</v>
      </c>
      <c r="F90" s="311">
        <v>1.8620000000000001</v>
      </c>
      <c r="G90" s="140"/>
      <c r="H90" s="249"/>
      <c r="I90" s="139"/>
      <c r="J90" s="232"/>
      <c r="K90" s="234" t="s">
        <v>558</v>
      </c>
      <c r="N90" s="234" t="b">
        <f>OR(Таблица191014[[#This Row],[Щебень]]&gt;0,Таблица191014[[#This Row],[Асфальт]]&gt;0,Таблица191014[[#This Row],[Бетон]]&gt;0)</f>
        <v>0</v>
      </c>
      <c r="Q90" s="234">
        <v>88</v>
      </c>
      <c r="U90" s="285"/>
      <c r="V90" s="285">
        <f>Таблица191014[[#This Row],[Грунт]]+Таблица191014[[#This Row],[Щебень]]+Таблица191014[[#This Row],[Асфальт]]+Таблица191014[[#This Row],[Бетон]]</f>
        <v>1.8620000000000001</v>
      </c>
      <c r="W90" s="285"/>
      <c r="X90" s="285"/>
      <c r="Y90" s="285"/>
      <c r="Z90" s="285"/>
    </row>
    <row r="91" spans="1:26" s="234" customFormat="1" x14ac:dyDescent="0.35">
      <c r="A91" s="146">
        <v>88</v>
      </c>
      <c r="B91" s="146" t="s">
        <v>175</v>
      </c>
      <c r="C91" s="146" t="s">
        <v>176</v>
      </c>
      <c r="D91" s="146" t="s">
        <v>571</v>
      </c>
      <c r="E91" s="254">
        <f>Таблица191014[[#This Row],[Грунт]]+Таблица191014[[#This Row],[Щебень]]+Таблица191014[[#This Row],[Асфальт]]+Таблица191014[[#This Row],[Бетон]]</f>
        <v>0.73499999999999999</v>
      </c>
      <c r="F91" s="311">
        <v>0.73499999999999999</v>
      </c>
      <c r="G91" s="140"/>
      <c r="H91" s="249"/>
      <c r="I91" s="139"/>
      <c r="J91" s="232"/>
      <c r="K91" s="234" t="s">
        <v>558</v>
      </c>
      <c r="N91" s="234" t="b">
        <f>OR(Таблица191014[[#This Row],[Щебень]]&gt;0,Таблица191014[[#This Row],[Асфальт]]&gt;0,Таблица191014[[#This Row],[Бетон]]&gt;0)</f>
        <v>0</v>
      </c>
      <c r="Q91" s="234">
        <v>89</v>
      </c>
      <c r="U91" s="285"/>
      <c r="V91" s="285">
        <f>Таблица191014[[#This Row],[Грунт]]+Таблица191014[[#This Row],[Щебень]]+Таблица191014[[#This Row],[Асфальт]]+Таблица191014[[#This Row],[Бетон]]</f>
        <v>0.73499999999999999</v>
      </c>
      <c r="W91" s="285"/>
      <c r="X91" s="285"/>
      <c r="Y91" s="285"/>
      <c r="Z91" s="285"/>
    </row>
    <row r="92" spans="1:26" s="234" customFormat="1" x14ac:dyDescent="0.35">
      <c r="A92" s="146">
        <v>89</v>
      </c>
      <c r="B92" s="146" t="s">
        <v>177</v>
      </c>
      <c r="C92" s="146" t="s">
        <v>810</v>
      </c>
      <c r="D92" s="146" t="s">
        <v>571</v>
      </c>
      <c r="E92" s="254">
        <f>Таблица191014[[#This Row],[Грунт]]+Таблица191014[[#This Row],[Щебень]]+Таблица191014[[#This Row],[Асфальт]]+Таблица191014[[#This Row],[Бетон]]</f>
        <v>3.0430000000000001</v>
      </c>
      <c r="F92" s="311"/>
      <c r="G92" s="140"/>
      <c r="H92" s="249"/>
      <c r="I92" s="139">
        <v>3.0430000000000001</v>
      </c>
      <c r="J92" s="232"/>
      <c r="K92" s="234" t="s">
        <v>558</v>
      </c>
      <c r="N92" s="234" t="b">
        <f>OR(Таблица191014[[#This Row],[Щебень]]&gt;0,Таблица191014[[#This Row],[Асфальт]]&gt;0,Таблица191014[[#This Row],[Бетон]]&gt;0)</f>
        <v>1</v>
      </c>
      <c r="O92" s="234">
        <v>1</v>
      </c>
      <c r="Q92" s="234">
        <v>90</v>
      </c>
      <c r="U92" s="285"/>
      <c r="V92" s="285">
        <f>Таблица191014[[#This Row],[Грунт]]+Таблица191014[[#This Row],[Щебень]]+Таблица191014[[#This Row],[Асфальт]]+Таблица191014[[#This Row],[Бетон]]</f>
        <v>3.0430000000000001</v>
      </c>
      <c r="W92" s="285"/>
      <c r="X92" s="285"/>
      <c r="Y92" s="285"/>
      <c r="Z92" s="285"/>
    </row>
    <row r="93" spans="1:26" s="234" customFormat="1" x14ac:dyDescent="0.35">
      <c r="A93" s="146">
        <v>90</v>
      </c>
      <c r="B93" s="146" t="s">
        <v>179</v>
      </c>
      <c r="C93" s="146" t="s">
        <v>180</v>
      </c>
      <c r="D93" s="146" t="s">
        <v>571</v>
      </c>
      <c r="E93" s="254">
        <f>Таблица191014[[#This Row],[Грунт]]+Таблица191014[[#This Row],[Щебень]]+Таблица191014[[#This Row],[Асфальт]]+Таблица191014[[#This Row],[Бетон]]</f>
        <v>2.4889999999999999</v>
      </c>
      <c r="F93" s="311">
        <v>2.4889999999999999</v>
      </c>
      <c r="G93" s="140"/>
      <c r="H93" s="249"/>
      <c r="I93" s="139"/>
      <c r="J93" s="232"/>
      <c r="K93" s="234" t="s">
        <v>558</v>
      </c>
      <c r="N93" s="234" t="b">
        <f>OR(Таблица191014[[#This Row],[Щебень]]&gt;0,Таблица191014[[#This Row],[Асфальт]]&gt;0,Таблица191014[[#This Row],[Бетон]]&gt;0)</f>
        <v>0</v>
      </c>
      <c r="Q93" s="234">
        <v>91</v>
      </c>
      <c r="U93" s="285"/>
      <c r="V93" s="285">
        <f>Таблица191014[[#This Row],[Грунт]]+Таблица191014[[#This Row],[Щебень]]+Таблица191014[[#This Row],[Асфальт]]+Таблица191014[[#This Row],[Бетон]]</f>
        <v>2.4889999999999999</v>
      </c>
      <c r="W93" s="285"/>
      <c r="X93" s="285"/>
      <c r="Y93" s="285"/>
      <c r="Z93" s="285"/>
    </row>
    <row r="94" spans="1:26" s="234" customFormat="1" x14ac:dyDescent="0.35">
      <c r="A94" s="146">
        <v>91</v>
      </c>
      <c r="B94" s="146" t="s">
        <v>181</v>
      </c>
      <c r="C94" s="146" t="s">
        <v>182</v>
      </c>
      <c r="D94" s="146" t="s">
        <v>571</v>
      </c>
      <c r="E94" s="254">
        <f>Таблица191014[[#This Row],[Грунт]]+Таблица191014[[#This Row],[Щебень]]+Таблица191014[[#This Row],[Асфальт]]+Таблица191014[[#This Row],[Бетон]]</f>
        <v>2.702</v>
      </c>
      <c r="F94" s="311">
        <v>2.702</v>
      </c>
      <c r="G94" s="140"/>
      <c r="H94" s="249"/>
      <c r="I94" s="139"/>
      <c r="J94" s="232"/>
      <c r="K94" s="234" t="s">
        <v>558</v>
      </c>
      <c r="N94" s="234" t="b">
        <f>OR(Таблица191014[[#This Row],[Щебень]]&gt;0,Таблица191014[[#This Row],[Асфальт]]&gt;0,Таблица191014[[#This Row],[Бетон]]&gt;0)</f>
        <v>0</v>
      </c>
      <c r="Q94" s="234">
        <v>92</v>
      </c>
      <c r="U94" s="285"/>
      <c r="V94" s="285">
        <f>Таблица191014[[#This Row],[Грунт]]+Таблица191014[[#This Row],[Щебень]]+Таблица191014[[#This Row],[Асфальт]]+Таблица191014[[#This Row],[Бетон]]</f>
        <v>2.702</v>
      </c>
      <c r="W94" s="285"/>
      <c r="X94" s="285"/>
      <c r="Y94" s="285"/>
      <c r="Z94" s="285"/>
    </row>
    <row r="95" spans="1:26" s="234" customFormat="1" x14ac:dyDescent="0.35">
      <c r="A95" s="146">
        <v>92</v>
      </c>
      <c r="B95" s="146" t="s">
        <v>183</v>
      </c>
      <c r="C95" s="146" t="s">
        <v>184</v>
      </c>
      <c r="D95" s="146" t="s">
        <v>571</v>
      </c>
      <c r="E95" s="254">
        <f>Таблица191014[[#This Row],[Грунт]]+Таблица191014[[#This Row],[Щебень]]+Таблица191014[[#This Row],[Асфальт]]+Таблица191014[[#This Row],[Бетон]]</f>
        <v>1.5</v>
      </c>
      <c r="F95" s="311">
        <v>1.5</v>
      </c>
      <c r="G95" s="140"/>
      <c r="H95" s="249"/>
      <c r="I95" s="139"/>
      <c r="J95" s="232"/>
      <c r="K95" s="234" t="s">
        <v>558</v>
      </c>
      <c r="N95" s="234" t="b">
        <f>OR(Таблица191014[[#This Row],[Щебень]]&gt;0,Таблица191014[[#This Row],[Асфальт]]&gt;0,Таблица191014[[#This Row],[Бетон]]&gt;0)</f>
        <v>0</v>
      </c>
      <c r="Q95" s="234">
        <v>93</v>
      </c>
      <c r="U95" s="285"/>
      <c r="V95" s="285">
        <f>Таблица191014[[#This Row],[Грунт]]+Таблица191014[[#This Row],[Щебень]]+Таблица191014[[#This Row],[Асфальт]]+Таблица191014[[#This Row],[Бетон]]</f>
        <v>1.5</v>
      </c>
      <c r="W95" s="285"/>
      <c r="X95" s="285"/>
      <c r="Y95" s="285"/>
      <c r="Z95" s="285"/>
    </row>
    <row r="96" spans="1:26" s="234" customFormat="1" x14ac:dyDescent="0.35">
      <c r="A96" s="146">
        <v>93</v>
      </c>
      <c r="B96" s="146" t="s">
        <v>185</v>
      </c>
      <c r="C96" s="146" t="s">
        <v>186</v>
      </c>
      <c r="D96" s="146" t="s">
        <v>571</v>
      </c>
      <c r="E96" s="254">
        <f>Таблица191014[[#This Row],[Грунт]]+Таблица191014[[#This Row],[Щебень]]+Таблица191014[[#This Row],[Асфальт]]+Таблица191014[[#This Row],[Бетон]]</f>
        <v>3.04</v>
      </c>
      <c r="F96" s="311">
        <v>3.04</v>
      </c>
      <c r="G96" s="140"/>
      <c r="H96" s="249"/>
      <c r="I96" s="139"/>
      <c r="J96" s="232"/>
      <c r="K96" s="234" t="s">
        <v>558</v>
      </c>
      <c r="N96" s="234" t="b">
        <f>OR(Таблица191014[[#This Row],[Щебень]]&gt;0,Таблица191014[[#This Row],[Асфальт]]&gt;0,Таблица191014[[#This Row],[Бетон]]&gt;0)</f>
        <v>0</v>
      </c>
      <c r="Q96" s="234">
        <v>94</v>
      </c>
      <c r="U96" s="285"/>
      <c r="V96" s="285">
        <f>Таблица191014[[#This Row],[Грунт]]+Таблица191014[[#This Row],[Щебень]]+Таблица191014[[#This Row],[Асфальт]]+Таблица191014[[#This Row],[Бетон]]</f>
        <v>3.04</v>
      </c>
      <c r="W96" s="285"/>
      <c r="X96" s="285"/>
      <c r="Y96" s="285"/>
      <c r="Z96" s="285"/>
    </row>
    <row r="97" spans="1:33" s="234" customFormat="1" x14ac:dyDescent="0.35">
      <c r="A97" s="146">
        <v>94</v>
      </c>
      <c r="B97" s="146" t="s">
        <v>187</v>
      </c>
      <c r="C97" s="146" t="s">
        <v>188</v>
      </c>
      <c r="D97" s="146" t="s">
        <v>571</v>
      </c>
      <c r="E97" s="254">
        <f>Таблица191014[[#This Row],[Грунт]]+Таблица191014[[#This Row],[Щебень]]+Таблица191014[[#This Row],[Асфальт]]+Таблица191014[[#This Row],[Бетон]]</f>
        <v>4.0069999999999997</v>
      </c>
      <c r="F97" s="311">
        <v>4.0069999999999997</v>
      </c>
      <c r="G97" s="140"/>
      <c r="H97" s="249"/>
      <c r="I97" s="139"/>
      <c r="J97" s="232"/>
      <c r="K97" s="234" t="s">
        <v>558</v>
      </c>
      <c r="N97" s="234" t="b">
        <f>OR(Таблица191014[[#This Row],[Щебень]]&gt;0,Таблица191014[[#This Row],[Асфальт]]&gt;0,Таблица191014[[#This Row],[Бетон]]&gt;0)</f>
        <v>0</v>
      </c>
      <c r="Q97" s="234">
        <v>95</v>
      </c>
      <c r="U97" s="285"/>
      <c r="V97" s="285">
        <f>Таблица191014[[#This Row],[Грунт]]+Таблица191014[[#This Row],[Щебень]]+Таблица191014[[#This Row],[Асфальт]]+Таблица191014[[#This Row],[Бетон]]</f>
        <v>4.0069999999999997</v>
      </c>
      <c r="W97" s="285"/>
      <c r="X97" s="285"/>
      <c r="Y97" s="285"/>
      <c r="Z97" s="285"/>
    </row>
    <row r="98" spans="1:33" s="234" customFormat="1" ht="46.5" x14ac:dyDescent="0.35">
      <c r="A98" s="146">
        <v>95</v>
      </c>
      <c r="B98" s="146" t="s">
        <v>189</v>
      </c>
      <c r="C98" s="146" t="s">
        <v>190</v>
      </c>
      <c r="D98" s="146" t="s">
        <v>548</v>
      </c>
      <c r="E98" s="254">
        <f>Таблица191014[[#This Row],[Грунт]]+Таблица191014[[#This Row],[Щебень]]+Таблица191014[[#This Row],[Асфальт]]+Таблица191014[[#This Row],[Бетон]]</f>
        <v>2.5</v>
      </c>
      <c r="F98" s="311">
        <v>1.3</v>
      </c>
      <c r="G98" s="140"/>
      <c r="H98" s="249">
        <v>1.2</v>
      </c>
      <c r="I98" s="139"/>
      <c r="J98" s="232"/>
      <c r="K98" s="234" t="s">
        <v>557</v>
      </c>
      <c r="N98" s="234" t="b">
        <f>OR(Таблица191014[[#This Row],[Щебень]]&gt;0,Таблица191014[[#This Row],[Асфальт]]&gt;0,Таблица191014[[#This Row],[Бетон]]&gt;0)</f>
        <v>1</v>
      </c>
      <c r="O98" s="234">
        <v>1</v>
      </c>
      <c r="Q98" s="234">
        <v>96</v>
      </c>
      <c r="U98" s="285"/>
      <c r="V98" s="285">
        <f>Таблица191014[[#This Row],[Грунт]]+Таблица191014[[#This Row],[Щебень]]+Таблица191014[[#This Row],[Асфальт]]+Таблица191014[[#This Row],[Бетон]]</f>
        <v>2.5</v>
      </c>
      <c r="W98" s="285"/>
      <c r="X98" s="285"/>
      <c r="Y98" s="285"/>
      <c r="Z98" s="285"/>
    </row>
    <row r="99" spans="1:33" s="234" customFormat="1" ht="46.5" x14ac:dyDescent="0.35">
      <c r="A99" s="146">
        <v>96</v>
      </c>
      <c r="B99" s="146" t="s">
        <v>191</v>
      </c>
      <c r="C99" s="146" t="s">
        <v>192</v>
      </c>
      <c r="D99" s="146" t="s">
        <v>548</v>
      </c>
      <c r="E99" s="254">
        <f>Таблица191014[[#This Row],[Грунт]]+Таблица191014[[#This Row],[Щебень]]+Таблица191014[[#This Row],[Асфальт]]+Таблица191014[[#This Row],[Бетон]]</f>
        <v>1.5720000000000001</v>
      </c>
      <c r="F99" s="311"/>
      <c r="G99" s="140"/>
      <c r="H99" s="249">
        <v>1.5720000000000001</v>
      </c>
      <c r="I99" s="139"/>
      <c r="J99" s="232"/>
      <c r="K99" s="234" t="s">
        <v>557</v>
      </c>
      <c r="N99" s="234" t="b">
        <f>OR(Таблица191014[[#This Row],[Щебень]]&gt;0,Таблица191014[[#This Row],[Асфальт]]&gt;0,Таблица191014[[#This Row],[Бетон]]&gt;0)</f>
        <v>1</v>
      </c>
      <c r="O99" s="234">
        <v>1</v>
      </c>
      <c r="Q99" s="234">
        <v>97</v>
      </c>
      <c r="U99" s="285"/>
      <c r="V99" s="285">
        <f>Таблица191014[[#This Row],[Грунт]]+Таблица191014[[#This Row],[Щебень]]+Таблица191014[[#This Row],[Асфальт]]+Таблица191014[[#This Row],[Бетон]]</f>
        <v>1.5720000000000001</v>
      </c>
      <c r="W99" s="285"/>
      <c r="X99" s="285"/>
      <c r="Y99" s="285"/>
      <c r="Z99" s="285"/>
    </row>
    <row r="100" spans="1:33" s="234" customFormat="1" x14ac:dyDescent="0.35">
      <c r="A100" s="146">
        <v>97</v>
      </c>
      <c r="B100" s="146" t="s">
        <v>193</v>
      </c>
      <c r="C100" s="146" t="s">
        <v>194</v>
      </c>
      <c r="D100" s="146" t="s">
        <v>539</v>
      </c>
      <c r="E100" s="254">
        <f>Таблица191014[[#This Row],[Грунт]]+Таблица191014[[#This Row],[Щебень]]+Таблица191014[[#This Row],[Асфальт]]+Таблица191014[[#This Row],[Бетон]]</f>
        <v>3.1930000000000001</v>
      </c>
      <c r="F100" s="311">
        <v>3.1930000000000001</v>
      </c>
      <c r="G100" s="140"/>
      <c r="H100" s="249"/>
      <c r="I100" s="139"/>
      <c r="J100" s="232"/>
      <c r="K100" s="234" t="s">
        <v>558</v>
      </c>
      <c r="N100" s="234" t="b">
        <f>OR(Таблица191014[[#This Row],[Щебень]]&gt;0,Таблица191014[[#This Row],[Асфальт]]&gt;0,Таблица191014[[#This Row],[Бетон]]&gt;0)</f>
        <v>0</v>
      </c>
      <c r="Q100" s="234">
        <v>98</v>
      </c>
      <c r="U100" s="285"/>
      <c r="V100" s="285">
        <f>Таблица191014[[#This Row],[Грунт]]+Таблица191014[[#This Row],[Щебень]]+Таблица191014[[#This Row],[Асфальт]]+Таблица191014[[#This Row],[Бетон]]</f>
        <v>3.1930000000000001</v>
      </c>
      <c r="W100" s="285"/>
      <c r="X100" s="285"/>
      <c r="Y100" s="285"/>
      <c r="Z100" s="285"/>
    </row>
    <row r="101" spans="1:33" s="234" customFormat="1" ht="46.5" x14ac:dyDescent="0.35">
      <c r="A101" s="146">
        <v>98</v>
      </c>
      <c r="B101" s="146" t="s">
        <v>195</v>
      </c>
      <c r="C101" s="146" t="s">
        <v>196</v>
      </c>
      <c r="D101" s="146" t="s">
        <v>548</v>
      </c>
      <c r="E101" s="254">
        <f>Таблица191014[[#This Row],[Грунт]]+Таблица191014[[#This Row],[Щебень]]+Таблица191014[[#This Row],[Асфальт]]+Таблица191014[[#This Row],[Бетон]]</f>
        <v>2.2000000000000002</v>
      </c>
      <c r="F101" s="311"/>
      <c r="G101" s="140">
        <v>2.2000000000000002</v>
      </c>
      <c r="H101" s="249"/>
      <c r="I101" s="139"/>
      <c r="J101" s="232"/>
      <c r="K101" s="234" t="s">
        <v>557</v>
      </c>
      <c r="N101" s="234" t="b">
        <f>OR(Таблица191014[[#This Row],[Щебень]]&gt;0,Таблица191014[[#This Row],[Асфальт]]&gt;0,Таблица191014[[#This Row],[Бетон]]&gt;0)</f>
        <v>1</v>
      </c>
      <c r="O101" s="234">
        <v>1</v>
      </c>
      <c r="Q101" s="234">
        <v>99</v>
      </c>
      <c r="U101" s="285"/>
      <c r="V101" s="285">
        <f>Таблица191014[[#This Row],[Грунт]]+Таблица191014[[#This Row],[Щебень]]+Таблица191014[[#This Row],[Асфальт]]+Таблица191014[[#This Row],[Бетон]]</f>
        <v>2.2000000000000002</v>
      </c>
      <c r="W101" s="285"/>
      <c r="X101" s="285"/>
      <c r="Y101" s="285"/>
      <c r="Z101" s="285"/>
    </row>
    <row r="102" spans="1:33" s="234" customFormat="1" ht="46.5" x14ac:dyDescent="0.35">
      <c r="A102" s="146">
        <v>99</v>
      </c>
      <c r="B102" s="146" t="s">
        <v>197</v>
      </c>
      <c r="C102" s="146" t="s">
        <v>198</v>
      </c>
      <c r="D102" s="146" t="s">
        <v>547</v>
      </c>
      <c r="E102" s="254">
        <f>Таблица191014[[#This Row],[Грунт]]+Таблица191014[[#This Row],[Щебень]]+Таблица191014[[#This Row],[Асфальт]]+Таблица191014[[#This Row],[Бетон]]</f>
        <v>0.86</v>
      </c>
      <c r="F102" s="311">
        <v>0.86</v>
      </c>
      <c r="G102" s="140"/>
      <c r="H102" s="249"/>
      <c r="I102" s="139"/>
      <c r="J102" s="232"/>
      <c r="K102" s="234" t="s">
        <v>558</v>
      </c>
      <c r="N102" s="234" t="b">
        <f>OR(Таблица191014[[#This Row],[Щебень]]&gt;0,Таблица191014[[#This Row],[Асфальт]]&gt;0,Таблица191014[[#This Row],[Бетон]]&gt;0)</f>
        <v>0</v>
      </c>
      <c r="Q102" s="234">
        <v>100</v>
      </c>
      <c r="U102" s="285"/>
      <c r="V102" s="285">
        <f>Таблица191014[[#This Row],[Грунт]]+Таблица191014[[#This Row],[Щебень]]+Таблица191014[[#This Row],[Асфальт]]+Таблица191014[[#This Row],[Бетон]]</f>
        <v>0.86</v>
      </c>
      <c r="W102" s="285"/>
      <c r="X102" s="285"/>
      <c r="Y102" s="285"/>
      <c r="Z102" s="285"/>
    </row>
    <row r="103" spans="1:33" s="234" customFormat="1" x14ac:dyDescent="0.35">
      <c r="A103" s="146">
        <v>100</v>
      </c>
      <c r="B103" s="146" t="s">
        <v>199</v>
      </c>
      <c r="C103" s="146" t="s">
        <v>200</v>
      </c>
      <c r="D103" s="146" t="s">
        <v>539</v>
      </c>
      <c r="E103" s="254">
        <f>Таблица191014[[#This Row],[Грунт]]+Таблица191014[[#This Row],[Щебень]]+Таблица191014[[#This Row],[Асфальт]]+Таблица191014[[#This Row],[Бетон]]</f>
        <v>1.8</v>
      </c>
      <c r="F103" s="311">
        <v>1.8</v>
      </c>
      <c r="G103" s="140"/>
      <c r="H103" s="249"/>
      <c r="I103" s="139"/>
      <c r="J103" s="232"/>
      <c r="K103" s="234">
        <v>1</v>
      </c>
      <c r="N103" s="234" t="b">
        <f>OR(Таблица191014[[#This Row],[Щебень]]&gt;0,Таблица191014[[#This Row],[Асфальт]]&gt;0,Таблица191014[[#This Row],[Бетон]]&gt;0)</f>
        <v>0</v>
      </c>
      <c r="Q103" s="234">
        <v>101</v>
      </c>
      <c r="U103" s="285"/>
      <c r="V103" s="285">
        <f>Таблица191014[[#This Row],[Грунт]]+Таблица191014[[#This Row],[Щебень]]+Таблица191014[[#This Row],[Асфальт]]+Таблица191014[[#This Row],[Бетон]]</f>
        <v>1.8</v>
      </c>
      <c r="W103" s="285"/>
      <c r="X103" s="285"/>
      <c r="Y103" s="285"/>
      <c r="Z103" s="285"/>
    </row>
    <row r="104" spans="1:33" s="234" customFormat="1" x14ac:dyDescent="0.35">
      <c r="A104" s="146">
        <v>101</v>
      </c>
      <c r="B104" s="146" t="s">
        <v>201</v>
      </c>
      <c r="C104" s="146" t="s">
        <v>202</v>
      </c>
      <c r="D104" s="146" t="s">
        <v>543</v>
      </c>
      <c r="E104" s="254">
        <f>Таблица191014[[#This Row],[Грунт]]+Таблица191014[[#This Row],[Щебень]]+Таблица191014[[#This Row],[Асфальт]]+Таблица191014[[#This Row],[Бетон]]</f>
        <v>1</v>
      </c>
      <c r="F104" s="311"/>
      <c r="G104" s="140">
        <v>1</v>
      </c>
      <c r="H104" s="249"/>
      <c r="I104" s="139"/>
      <c r="J104" s="232"/>
      <c r="K104" s="234">
        <v>1</v>
      </c>
      <c r="N104" s="234" t="b">
        <f>OR(Таблица191014[[#This Row],[Щебень]]&gt;0,Таблица191014[[#This Row],[Асфальт]]&gt;0,Таблица191014[[#This Row],[Бетон]]&gt;0)</f>
        <v>1</v>
      </c>
      <c r="O104" s="234">
        <v>1</v>
      </c>
      <c r="Q104" s="234">
        <v>102</v>
      </c>
      <c r="U104" s="285"/>
      <c r="V104" s="285">
        <f>Таблица191014[[#This Row],[Грунт]]+Таблица191014[[#This Row],[Щебень]]+Таблица191014[[#This Row],[Асфальт]]+Таблица191014[[#This Row],[Бетон]]</f>
        <v>1</v>
      </c>
      <c r="W104" s="285"/>
      <c r="X104" s="285"/>
      <c r="Y104" s="285"/>
      <c r="Z104" s="285"/>
    </row>
    <row r="105" spans="1:33" s="234" customFormat="1" ht="46.5" x14ac:dyDescent="0.35">
      <c r="A105" s="146">
        <v>102</v>
      </c>
      <c r="B105" s="146" t="s">
        <v>203</v>
      </c>
      <c r="C105" s="146" t="s">
        <v>534</v>
      </c>
      <c r="D105" s="146" t="s">
        <v>545</v>
      </c>
      <c r="E105" s="255">
        <f>Таблица191014[[#This Row],[Грунт]]+Таблица191014[[#This Row],[Щебень]]+Таблица191014[[#This Row],[Асфальт]]</f>
        <v>3.2</v>
      </c>
      <c r="F105" s="311"/>
      <c r="G105" s="140"/>
      <c r="H105" s="249">
        <v>3.2</v>
      </c>
      <c r="I105" s="139"/>
      <c r="J105" s="232"/>
      <c r="K105" s="234">
        <v>1</v>
      </c>
      <c r="N105" s="234" t="b">
        <f>OR(Таблица191014[[#This Row],[Щебень]]&gt;0,Таблица191014[[#This Row],[Асфальт]]&gt;0,Таблица191014[[#This Row],[Бетон]]&gt;0)</f>
        <v>1</v>
      </c>
      <c r="O105" s="234">
        <v>1</v>
      </c>
      <c r="Q105" s="234">
        <v>103</v>
      </c>
      <c r="U105" s="285"/>
      <c r="V105" s="285">
        <f>Таблица191014[[#This Row],[Грунт]]+Таблица191014[[#This Row],[Щебень]]+Таблица191014[[#This Row],[Асфальт]]+Таблица191014[[#This Row],[Бетон]]</f>
        <v>3.2</v>
      </c>
      <c r="W105" s="285"/>
      <c r="X105" s="285"/>
      <c r="Y105" s="285"/>
      <c r="Z105" s="285"/>
    </row>
    <row r="106" spans="1:33" s="234" customFormat="1" ht="46.5" x14ac:dyDescent="0.35">
      <c r="A106" s="146">
        <v>103</v>
      </c>
      <c r="B106" s="146" t="s">
        <v>822</v>
      </c>
      <c r="C106" s="236" t="s">
        <v>783</v>
      </c>
      <c r="D106" s="237" t="s">
        <v>542</v>
      </c>
      <c r="E106" s="254">
        <f>Таблица191014[[#This Row],[Грунт]]+Таблица191014[[#This Row],[Щебень]]+Таблица191014[[#This Row],[Асфальт]]+Таблица191014[[#This Row],[Бетон]]</f>
        <v>1.901</v>
      </c>
      <c r="F106" s="311">
        <v>1.901</v>
      </c>
      <c r="G106" s="140"/>
      <c r="H106" s="249"/>
      <c r="I106" s="139"/>
      <c r="J106" s="232"/>
      <c r="K106" s="234" t="s">
        <v>558</v>
      </c>
      <c r="N106" s="238" t="b">
        <f>OR(Таблица191014[[#This Row],[Щебень]]&gt;0,Таблица191014[[#This Row],[Асфальт]]&gt;0,Таблица191014[[#This Row],[Бетон]]&gt;0)</f>
        <v>0</v>
      </c>
      <c r="Q106" s="234">
        <v>104</v>
      </c>
      <c r="R106" s="234" t="s">
        <v>796</v>
      </c>
      <c r="U106" s="285"/>
      <c r="V106" s="285">
        <f>Таблица191014[[#This Row],[Грунт]]+Таблица191014[[#This Row],[Щебень]]+Таблица191014[[#This Row],[Асфальт]]+Таблица191014[[#This Row],[Бетон]]</f>
        <v>1.901</v>
      </c>
      <c r="W106" s="285"/>
      <c r="X106" s="285"/>
      <c r="Y106" s="285"/>
      <c r="Z106" s="285"/>
    </row>
    <row r="107" spans="1:33" s="240" customFormat="1" ht="46.5" x14ac:dyDescent="0.35">
      <c r="A107" s="146">
        <v>104</v>
      </c>
      <c r="B107" s="237" t="s">
        <v>788</v>
      </c>
      <c r="C107" s="237" t="s">
        <v>789</v>
      </c>
      <c r="D107" s="146" t="s">
        <v>548</v>
      </c>
      <c r="E107" s="256">
        <v>0.43</v>
      </c>
      <c r="F107" s="312"/>
      <c r="G107" s="161"/>
      <c r="H107" s="250">
        <v>0.43</v>
      </c>
      <c r="I107" s="160"/>
      <c r="J107" s="239"/>
      <c r="K107" s="234">
        <v>1</v>
      </c>
      <c r="N107" s="241" t="b">
        <f>OR(Таблица191014[[#This Row],[Щебень]]&gt;0,Таблица191014[[#This Row],[Асфальт]]&gt;0,Таблица191014[[#This Row],[Бетон]]&gt;0)</f>
        <v>1</v>
      </c>
      <c r="Q107" s="234">
        <v>105</v>
      </c>
      <c r="R107" s="234">
        <f>SUM(E109:E277)</f>
        <v>261.63299999999987</v>
      </c>
      <c r="S107" s="234"/>
      <c r="T107" s="234"/>
      <c r="U107" s="285"/>
      <c r="V107" s="285">
        <f>Таблица191014[[#This Row],[Грунт]]+Таблица191014[[#This Row],[Щебень]]+Таблица191014[[#This Row],[Асфальт]]+Таблица191014[[#This Row],[Бетон]]</f>
        <v>0.43</v>
      </c>
      <c r="W107" s="285"/>
      <c r="X107" s="285"/>
      <c r="Y107" s="285"/>
      <c r="Z107" s="285"/>
    </row>
    <row r="108" spans="1:33" s="240" customFormat="1" ht="36" customHeight="1" x14ac:dyDescent="0.35">
      <c r="A108" s="146">
        <v>105</v>
      </c>
      <c r="B108" s="237" t="s">
        <v>823</v>
      </c>
      <c r="C108" s="146" t="s">
        <v>843</v>
      </c>
      <c r="D108" s="146" t="s">
        <v>537</v>
      </c>
      <c r="E108" s="256">
        <f>Таблица191014[[#This Row],[Грунт]]+Таблица191014[[#This Row],[Щебень]]+Таблица191014[[#This Row],[Асфальт]]+Таблица191014[[#This Row],[Бетон]]</f>
        <v>2.8039999999999998</v>
      </c>
      <c r="F108" s="311">
        <v>2.8039999999999998</v>
      </c>
      <c r="G108" s="140"/>
      <c r="H108" s="249"/>
      <c r="I108" s="139"/>
      <c r="J108" s="232"/>
      <c r="K108" s="285" t="s">
        <v>558</v>
      </c>
      <c r="L108" s="285"/>
      <c r="M108" s="285"/>
      <c r="N108" s="286" t="b">
        <f>OR(Таблица191014[[#This Row],[Щебень]]&gt;0,Таблица191014[[#This Row],[Асфальт]]&gt;0,Таблица191014[[#This Row],[Бетон]]&gt;0)</f>
        <v>0</v>
      </c>
      <c r="O108" s="285"/>
      <c r="P108" s="285"/>
      <c r="Q108" s="285"/>
      <c r="R108" s="285"/>
      <c r="S108" s="285"/>
      <c r="T108" s="285"/>
      <c r="U108" s="285"/>
      <c r="V108" s="285">
        <f>Таблица191014[[#This Row],[Грунт]]+Таблица191014[[#This Row],[Щебень]]+Таблица191014[[#This Row],[Асфальт]]+Таблица191014[[#This Row],[Бетон]]</f>
        <v>2.8039999999999998</v>
      </c>
      <c r="W108" s="285"/>
      <c r="X108" s="285"/>
      <c r="Y108" s="285"/>
      <c r="Z108" s="285"/>
    </row>
    <row r="109" spans="1:33" s="234" customFormat="1" x14ac:dyDescent="0.35">
      <c r="A109" s="146">
        <v>106</v>
      </c>
      <c r="B109" s="146" t="s">
        <v>205</v>
      </c>
      <c r="C109" s="146" t="s">
        <v>206</v>
      </c>
      <c r="D109" s="146" t="s">
        <v>538</v>
      </c>
      <c r="E109" s="254">
        <f>Таблица191014[[#This Row],[Грунт]]+Таблица191014[[#This Row],[Щебень]]+Таблица191014[[#This Row],[Асфальт]]+Таблица191014[[#This Row],[Бетон]]</f>
        <v>4.4130000000000003</v>
      </c>
      <c r="F109" s="311">
        <v>0.41299999999999998</v>
      </c>
      <c r="G109" s="140"/>
      <c r="H109" s="249">
        <v>4</v>
      </c>
      <c r="I109" s="139"/>
      <c r="J109" s="232"/>
      <c r="K109" s="234" t="s">
        <v>558</v>
      </c>
      <c r="L109" s="234">
        <v>1.45</v>
      </c>
      <c r="N109" s="234" t="b">
        <f>OR(Таблица191014[[#This Row],[Щебень]]&gt;0,Таблица191014[[#This Row],[Асфальт]]&gt;0,Таблица191014[[#This Row],[Бетон]]&gt;0)</f>
        <v>1</v>
      </c>
      <c r="O109" s="234">
        <v>1</v>
      </c>
      <c r="Q109" s="234">
        <v>106</v>
      </c>
      <c r="U109" s="285"/>
      <c r="V109" s="285">
        <f>Таблица191014[[#This Row],[Грунт]]+Таблица191014[[#This Row],[Щебень]]+Таблица191014[[#This Row],[Асфальт]]+Таблица191014[[#This Row],[Бетон]]</f>
        <v>4.4130000000000003</v>
      </c>
      <c r="W109" s="285"/>
      <c r="X109" s="285"/>
      <c r="Y109" s="285"/>
      <c r="Z109" s="285"/>
      <c r="AG109" s="234">
        <v>1</v>
      </c>
    </row>
    <row r="110" spans="1:33" s="234" customFormat="1" x14ac:dyDescent="0.35">
      <c r="A110" s="146">
        <v>107</v>
      </c>
      <c r="B110" s="146" t="s">
        <v>207</v>
      </c>
      <c r="C110" s="146" t="s">
        <v>208</v>
      </c>
      <c r="D110" s="146" t="s">
        <v>538</v>
      </c>
      <c r="E110" s="254">
        <f>Таблица191014[[#This Row],[Грунт]]+Таблица191014[[#This Row],[Щебень]]+Таблица191014[[#This Row],[Асфальт]]+Таблица191014[[#This Row],[Бетон]]</f>
        <v>4</v>
      </c>
      <c r="F110" s="311">
        <v>4</v>
      </c>
      <c r="G110" s="140"/>
      <c r="H110" s="249"/>
      <c r="I110" s="139"/>
      <c r="J110" s="232"/>
      <c r="K110" s="234">
        <v>1</v>
      </c>
      <c r="N110" s="234" t="b">
        <f>OR(Таблица191014[[#This Row],[Щебень]]&gt;0,Таблица191014[[#This Row],[Асфальт]]&gt;0,Таблица191014[[#This Row],[Бетон]]&gt;0)</f>
        <v>0</v>
      </c>
      <c r="Q110" s="234">
        <v>107</v>
      </c>
      <c r="U110" s="285"/>
      <c r="V110" s="285">
        <f>Таблица191014[[#This Row],[Грунт]]+Таблица191014[[#This Row],[Щебень]]+Таблица191014[[#This Row],[Асфальт]]+Таблица191014[[#This Row],[Бетон]]</f>
        <v>4</v>
      </c>
      <c r="W110" s="285"/>
      <c r="X110" s="285"/>
      <c r="Y110" s="285"/>
      <c r="Z110" s="285"/>
      <c r="AG110" s="234">
        <v>2</v>
      </c>
    </row>
    <row r="111" spans="1:33" s="234" customFormat="1" x14ac:dyDescent="0.35">
      <c r="A111" s="146">
        <v>108</v>
      </c>
      <c r="B111" s="146" t="s">
        <v>209</v>
      </c>
      <c r="C111" s="146" t="s">
        <v>210</v>
      </c>
      <c r="D111" s="146" t="s">
        <v>538</v>
      </c>
      <c r="E111" s="254">
        <f>Таблица191014[[#This Row],[Грунт]]+Таблица191014[[#This Row],[Щебень]]+Таблица191014[[#This Row],[Асфальт]]+Таблица191014[[#This Row],[Бетон]]</f>
        <v>3.7</v>
      </c>
      <c r="F111" s="311">
        <v>3.7</v>
      </c>
      <c r="G111" s="140"/>
      <c r="H111" s="249"/>
      <c r="I111" s="139"/>
      <c r="J111" s="232"/>
      <c r="K111" s="234">
        <v>1</v>
      </c>
      <c r="N111" s="234" t="b">
        <f>OR(Таблица191014[[#This Row],[Щебень]]&gt;0,Таблица191014[[#This Row],[Асфальт]]&gt;0,Таблица191014[[#This Row],[Бетон]]&gt;0)</f>
        <v>0</v>
      </c>
      <c r="Q111" s="234">
        <v>108</v>
      </c>
      <c r="U111" s="285"/>
      <c r="V111" s="285">
        <f>Таблица191014[[#This Row],[Грунт]]+Таблица191014[[#This Row],[Щебень]]+Таблица191014[[#This Row],[Асфальт]]+Таблица191014[[#This Row],[Бетон]]</f>
        <v>3.7</v>
      </c>
      <c r="W111" s="285"/>
      <c r="X111" s="285"/>
      <c r="Y111" s="285"/>
      <c r="Z111" s="285"/>
      <c r="AG111" s="234">
        <v>3</v>
      </c>
    </row>
    <row r="112" spans="1:33" s="234" customFormat="1" x14ac:dyDescent="0.35">
      <c r="A112" s="146">
        <v>109</v>
      </c>
      <c r="B112" s="146" t="s">
        <v>211</v>
      </c>
      <c r="C112" s="146" t="s">
        <v>212</v>
      </c>
      <c r="D112" s="146" t="s">
        <v>538</v>
      </c>
      <c r="E112" s="254">
        <f>Таблица191014[[#This Row],[Грунт]]+Таблица191014[[#This Row],[Щебень]]+Таблица191014[[#This Row],[Асфальт]]+Таблица191014[[#This Row],[Бетон]]</f>
        <v>2.5</v>
      </c>
      <c r="F112" s="311">
        <v>1</v>
      </c>
      <c r="G112" s="140"/>
      <c r="H112" s="249">
        <v>1.5</v>
      </c>
      <c r="I112" s="139"/>
      <c r="J112" s="232"/>
      <c r="K112" s="234">
        <v>1</v>
      </c>
      <c r="N112" s="234" t="b">
        <f>OR(Таблица191014[[#This Row],[Щебень]]&gt;0,Таблица191014[[#This Row],[Асфальт]]&gt;0,Таблица191014[[#This Row],[Бетон]]&gt;0)</f>
        <v>1</v>
      </c>
      <c r="O112" s="234">
        <v>1</v>
      </c>
      <c r="Q112" s="234">
        <v>109</v>
      </c>
      <c r="U112" s="285"/>
      <c r="V112" s="285">
        <f>Таблица191014[[#This Row],[Грунт]]+Таблица191014[[#This Row],[Щебень]]+Таблица191014[[#This Row],[Асфальт]]+Таблица191014[[#This Row],[Бетон]]</f>
        <v>2.5</v>
      </c>
      <c r="W112" s="285"/>
      <c r="X112" s="285"/>
      <c r="Y112" s="285"/>
      <c r="Z112" s="285"/>
      <c r="AG112" s="234">
        <v>4</v>
      </c>
    </row>
    <row r="113" spans="1:33" s="234" customFormat="1" x14ac:dyDescent="0.35">
      <c r="A113" s="146">
        <v>110</v>
      </c>
      <c r="B113" s="146" t="s">
        <v>213</v>
      </c>
      <c r="C113" s="146" t="s">
        <v>214</v>
      </c>
      <c r="D113" s="146" t="s">
        <v>538</v>
      </c>
      <c r="E113" s="254">
        <f>Таблица191014[[#This Row],[Грунт]]+Таблица191014[[#This Row],[Щебень]]+Таблица191014[[#This Row],[Асфальт]]+Таблица191014[[#This Row],[Бетон]]</f>
        <v>1.3</v>
      </c>
      <c r="F113" s="311">
        <v>1.3</v>
      </c>
      <c r="G113" s="140"/>
      <c r="H113" s="249"/>
      <c r="I113" s="139"/>
      <c r="J113" s="232"/>
      <c r="K113" s="234">
        <v>1</v>
      </c>
      <c r="N113" s="234" t="b">
        <f>OR(Таблица191014[[#This Row],[Щебень]]&gt;0,Таблица191014[[#This Row],[Асфальт]]&gt;0,Таблица191014[[#This Row],[Бетон]]&gt;0)</f>
        <v>0</v>
      </c>
      <c r="Q113" s="234">
        <v>110</v>
      </c>
      <c r="U113" s="285"/>
      <c r="V113" s="285">
        <f>Таблица191014[[#This Row],[Грунт]]+Таблица191014[[#This Row],[Щебень]]+Таблица191014[[#This Row],[Асфальт]]+Таблица191014[[#This Row],[Бетон]]</f>
        <v>1.3</v>
      </c>
      <c r="W113" s="285"/>
      <c r="X113" s="285"/>
      <c r="Y113" s="285"/>
      <c r="Z113" s="285"/>
      <c r="AG113" s="234">
        <v>5</v>
      </c>
    </row>
    <row r="114" spans="1:33" s="234" customFormat="1" x14ac:dyDescent="0.35">
      <c r="A114" s="146">
        <v>111</v>
      </c>
      <c r="B114" s="146" t="s">
        <v>215</v>
      </c>
      <c r="C114" s="146" t="s">
        <v>216</v>
      </c>
      <c r="D114" s="146" t="s">
        <v>538</v>
      </c>
      <c r="E114" s="254">
        <f>Таблица191014[[#This Row],[Грунт]]+Таблица191014[[#This Row],[Щебень]]+Таблица191014[[#This Row],[Асфальт]]+Таблица191014[[#This Row],[Бетон]]</f>
        <v>3.5</v>
      </c>
      <c r="F114" s="311">
        <v>2.8</v>
      </c>
      <c r="G114" s="140"/>
      <c r="H114" s="249">
        <v>0.7</v>
      </c>
      <c r="I114" s="139"/>
      <c r="J114" s="232"/>
      <c r="K114" s="234">
        <v>1</v>
      </c>
      <c r="N114" s="234" t="b">
        <f>OR(Таблица191014[[#This Row],[Щебень]]&gt;0,Таблица191014[[#This Row],[Асфальт]]&gt;0,Таблица191014[[#This Row],[Бетон]]&gt;0)</f>
        <v>1</v>
      </c>
      <c r="O114" s="234">
        <v>1</v>
      </c>
      <c r="Q114" s="234">
        <v>111</v>
      </c>
      <c r="U114" s="285"/>
      <c r="V114" s="285">
        <f>Таблица191014[[#This Row],[Грунт]]+Таблица191014[[#This Row],[Щебень]]+Таблица191014[[#This Row],[Асфальт]]+Таблица191014[[#This Row],[Бетон]]</f>
        <v>3.5</v>
      </c>
      <c r="W114" s="285"/>
      <c r="X114" s="285"/>
      <c r="Y114" s="285"/>
      <c r="Z114" s="285"/>
      <c r="AG114" s="234">
        <v>6</v>
      </c>
    </row>
    <row r="115" spans="1:33" s="234" customFormat="1" x14ac:dyDescent="0.35">
      <c r="A115" s="146">
        <v>112</v>
      </c>
      <c r="B115" s="146" t="s">
        <v>217</v>
      </c>
      <c r="C115" s="146" t="s">
        <v>218</v>
      </c>
      <c r="D115" s="146" t="s">
        <v>538</v>
      </c>
      <c r="E115" s="254">
        <f>Таблица191014[[#This Row],[Грунт]]+Таблица191014[[#This Row],[Щебень]]+Таблица191014[[#This Row],[Асфальт]]+Таблица191014[[#This Row],[Бетон]]</f>
        <v>1.956</v>
      </c>
      <c r="F115" s="311">
        <v>1.956</v>
      </c>
      <c r="G115" s="140"/>
      <c r="H115" s="249"/>
      <c r="I115" s="139"/>
      <c r="J115" s="232"/>
      <c r="K115" s="234" t="s">
        <v>558</v>
      </c>
      <c r="N115" s="234" t="b">
        <f>OR(Таблица191014[[#This Row],[Щебень]]&gt;0,Таблица191014[[#This Row],[Асфальт]]&gt;0,Таблица191014[[#This Row],[Бетон]]&gt;0)</f>
        <v>0</v>
      </c>
      <c r="Q115" s="234">
        <v>112</v>
      </c>
      <c r="U115" s="285"/>
      <c r="V115" s="285">
        <f>Таблица191014[[#This Row],[Грунт]]+Таблица191014[[#This Row],[Щебень]]+Таблица191014[[#This Row],[Асфальт]]+Таблица191014[[#This Row],[Бетон]]</f>
        <v>1.956</v>
      </c>
      <c r="W115" s="285"/>
      <c r="X115" s="285"/>
      <c r="Y115" s="285"/>
      <c r="Z115" s="285"/>
      <c r="AG115" s="234">
        <v>7</v>
      </c>
    </row>
    <row r="116" spans="1:33" s="234" customFormat="1" x14ac:dyDescent="0.35">
      <c r="A116" s="146">
        <v>113</v>
      </c>
      <c r="B116" s="146" t="s">
        <v>219</v>
      </c>
      <c r="C116" s="146" t="s">
        <v>220</v>
      </c>
      <c r="D116" s="146" t="s">
        <v>538</v>
      </c>
      <c r="E116" s="254">
        <f>Таблица191014[[#This Row],[Грунт]]+Таблица191014[[#This Row],[Щебень]]+Таблица191014[[#This Row],[Асфальт]]+Таблица191014[[#This Row],[Бетон]]</f>
        <v>0.7</v>
      </c>
      <c r="F116" s="311">
        <v>0.7</v>
      </c>
      <c r="G116" s="140"/>
      <c r="H116" s="249"/>
      <c r="I116" s="139"/>
      <c r="J116" s="232"/>
      <c r="K116" s="234">
        <v>1</v>
      </c>
      <c r="N116" s="234" t="b">
        <f>OR(Таблица191014[[#This Row],[Щебень]]&gt;0,Таблица191014[[#This Row],[Асфальт]]&gt;0,Таблица191014[[#This Row],[Бетон]]&gt;0)</f>
        <v>0</v>
      </c>
      <c r="Q116" s="234">
        <v>113</v>
      </c>
      <c r="U116" s="285"/>
      <c r="V116" s="285">
        <f>Таблица191014[[#This Row],[Грунт]]+Таблица191014[[#This Row],[Щебень]]+Таблица191014[[#This Row],[Асфальт]]+Таблица191014[[#This Row],[Бетон]]</f>
        <v>0.7</v>
      </c>
      <c r="W116" s="285"/>
      <c r="X116" s="285"/>
      <c r="Y116" s="285"/>
      <c r="Z116" s="285"/>
      <c r="AG116" s="234">
        <v>8</v>
      </c>
    </row>
    <row r="117" spans="1:33" s="234" customFormat="1" x14ac:dyDescent="0.35">
      <c r="A117" s="146">
        <v>114</v>
      </c>
      <c r="B117" s="146" t="s">
        <v>221</v>
      </c>
      <c r="C117" s="146" t="s">
        <v>222</v>
      </c>
      <c r="D117" s="146" t="s">
        <v>538</v>
      </c>
      <c r="E117" s="254">
        <f>Таблица191014[[#This Row],[Грунт]]+Таблица191014[[#This Row],[Щебень]]+Таблица191014[[#This Row],[Асфальт]]+Таблица191014[[#This Row],[Бетон]]</f>
        <v>1.2869999999999999</v>
      </c>
      <c r="F117" s="311">
        <v>1.2869999999999999</v>
      </c>
      <c r="G117" s="140"/>
      <c r="H117" s="249"/>
      <c r="I117" s="139"/>
      <c r="J117" s="232"/>
      <c r="K117" s="234" t="s">
        <v>558</v>
      </c>
      <c r="N117" s="234" t="b">
        <f>OR(Таблица191014[[#This Row],[Щебень]]&gt;0,Таблица191014[[#This Row],[Асфальт]]&gt;0,Таблица191014[[#This Row],[Бетон]]&gt;0)</f>
        <v>0</v>
      </c>
      <c r="Q117" s="234">
        <v>114</v>
      </c>
      <c r="U117" s="285"/>
      <c r="V117" s="285">
        <f>Таблица191014[[#This Row],[Грунт]]+Таблица191014[[#This Row],[Щебень]]+Таблица191014[[#This Row],[Асфальт]]+Таблица191014[[#This Row],[Бетон]]</f>
        <v>1.2869999999999999</v>
      </c>
      <c r="W117" s="285"/>
      <c r="X117" s="285"/>
      <c r="Y117" s="285"/>
      <c r="Z117" s="285"/>
      <c r="AG117" s="234">
        <v>9</v>
      </c>
    </row>
    <row r="118" spans="1:33" s="234" customFormat="1" x14ac:dyDescent="0.35">
      <c r="A118" s="146">
        <v>115</v>
      </c>
      <c r="B118" s="146" t="s">
        <v>223</v>
      </c>
      <c r="C118" s="146" t="s">
        <v>224</v>
      </c>
      <c r="D118" s="146" t="s">
        <v>538</v>
      </c>
      <c r="E118" s="254">
        <f>Таблица191014[[#This Row],[Грунт]]+Таблица191014[[#This Row],[Щебень]]+Таблица191014[[#This Row],[Асфальт]]+Таблица191014[[#This Row],[Бетон]]</f>
        <v>1</v>
      </c>
      <c r="F118" s="311">
        <v>1</v>
      </c>
      <c r="G118" s="140"/>
      <c r="H118" s="249"/>
      <c r="I118" s="139"/>
      <c r="J118" s="232"/>
      <c r="K118" s="234">
        <v>1</v>
      </c>
      <c r="N118" s="234" t="b">
        <f>OR(Таблица191014[[#This Row],[Щебень]]&gt;0,Таблица191014[[#This Row],[Асфальт]]&gt;0,Таблица191014[[#This Row],[Бетон]]&gt;0)</f>
        <v>0</v>
      </c>
      <c r="Q118" s="234">
        <v>115</v>
      </c>
      <c r="U118" s="285"/>
      <c r="V118" s="285">
        <f>Таблица191014[[#This Row],[Грунт]]+Таблица191014[[#This Row],[Щебень]]+Таблица191014[[#This Row],[Асфальт]]+Таблица191014[[#This Row],[Бетон]]</f>
        <v>1</v>
      </c>
      <c r="W118" s="285"/>
      <c r="X118" s="285"/>
      <c r="Y118" s="285"/>
      <c r="Z118" s="285"/>
      <c r="AG118" s="234">
        <v>10</v>
      </c>
    </row>
    <row r="119" spans="1:33" s="234" customFormat="1" x14ac:dyDescent="0.35">
      <c r="A119" s="146">
        <v>116</v>
      </c>
      <c r="B119" s="146" t="s">
        <v>225</v>
      </c>
      <c r="C119" s="146" t="s">
        <v>226</v>
      </c>
      <c r="D119" s="146" t="s">
        <v>537</v>
      </c>
      <c r="E119" s="254">
        <f>Таблица191014[[#This Row],[Грунт]]+Таблица191014[[#This Row],[Щебень]]+Таблица191014[[#This Row],[Асфальт]]+Таблица191014[[#This Row],[Бетон]]</f>
        <v>5.3410000000000002</v>
      </c>
      <c r="F119" s="311">
        <v>2.9870000000000001</v>
      </c>
      <c r="G119" s="140">
        <v>0.34100000000000003</v>
      </c>
      <c r="H119" s="249">
        <v>2.0129999999999999</v>
      </c>
      <c r="I119" s="139"/>
      <c r="J119" s="232"/>
      <c r="K119" s="234" t="s">
        <v>558</v>
      </c>
      <c r="N119" s="234" t="b">
        <f>OR(Таблица191014[[#This Row],[Щебень]]&gt;0,Таблица191014[[#This Row],[Асфальт]]&gt;0,Таблица191014[[#This Row],[Бетон]]&gt;0)</f>
        <v>1</v>
      </c>
      <c r="O119" s="234">
        <v>1</v>
      </c>
      <c r="Q119" s="234">
        <v>116</v>
      </c>
      <c r="U119" s="285"/>
      <c r="V119" s="285">
        <f>Таблица191014[[#This Row],[Грунт]]+Таблица191014[[#This Row],[Щебень]]+Таблица191014[[#This Row],[Асфальт]]+Таблица191014[[#This Row],[Бетон]]</f>
        <v>5.3410000000000002</v>
      </c>
      <c r="W119" s="285"/>
      <c r="X119" s="285"/>
      <c r="Y119" s="285"/>
      <c r="Z119" s="285"/>
      <c r="AG119" s="234">
        <v>11</v>
      </c>
    </row>
    <row r="120" spans="1:33" s="234" customFormat="1" x14ac:dyDescent="0.35">
      <c r="A120" s="146">
        <v>117</v>
      </c>
      <c r="B120" s="146" t="s">
        <v>227</v>
      </c>
      <c r="C120" s="146" t="s">
        <v>228</v>
      </c>
      <c r="D120" s="146" t="s">
        <v>537</v>
      </c>
      <c r="E120" s="254">
        <f>Таблица191014[[#This Row],[Грунт]]+Таблица191014[[#This Row],[Щебень]]+Таблица191014[[#This Row],[Асфальт]]+Таблица191014[[#This Row],[Бетон]]</f>
        <v>1</v>
      </c>
      <c r="F120" s="311">
        <v>1</v>
      </c>
      <c r="G120" s="140"/>
      <c r="H120" s="249"/>
      <c r="I120" s="139"/>
      <c r="J120" s="232"/>
      <c r="K120" s="234">
        <v>1</v>
      </c>
      <c r="N120" s="234" t="b">
        <f>OR(Таблица191014[[#This Row],[Щебень]]&gt;0,Таблица191014[[#This Row],[Асфальт]]&gt;0,Таблица191014[[#This Row],[Бетон]]&gt;0)</f>
        <v>0</v>
      </c>
      <c r="Q120" s="234">
        <v>117</v>
      </c>
      <c r="U120" s="285"/>
      <c r="V120" s="285">
        <f>Таблица191014[[#This Row],[Грунт]]+Таблица191014[[#This Row],[Щебень]]+Таблица191014[[#This Row],[Асфальт]]+Таблица191014[[#This Row],[Бетон]]</f>
        <v>1</v>
      </c>
      <c r="W120" s="285"/>
      <c r="X120" s="285"/>
      <c r="Y120" s="285"/>
      <c r="Z120" s="285"/>
      <c r="AG120" s="234">
        <v>12</v>
      </c>
    </row>
    <row r="121" spans="1:33" s="234" customFormat="1" x14ac:dyDescent="0.35">
      <c r="A121" s="146">
        <v>118</v>
      </c>
      <c r="B121" s="146" t="s">
        <v>229</v>
      </c>
      <c r="C121" s="146" t="s">
        <v>230</v>
      </c>
      <c r="D121" s="146" t="s">
        <v>537</v>
      </c>
      <c r="E121" s="254">
        <f>Таблица191014[[#This Row],[Грунт]]+Таблица191014[[#This Row],[Щебень]]+Таблица191014[[#This Row],[Асфальт]]+Таблица191014[[#This Row],[Бетон]]</f>
        <v>1.1000000000000001</v>
      </c>
      <c r="F121" s="311">
        <v>1.1000000000000001</v>
      </c>
      <c r="G121" s="140"/>
      <c r="H121" s="249"/>
      <c r="I121" s="139"/>
      <c r="J121" s="232"/>
      <c r="K121" s="234">
        <v>1</v>
      </c>
      <c r="N121" s="234" t="b">
        <f>OR(Таблица191014[[#This Row],[Щебень]]&gt;0,Таблица191014[[#This Row],[Асфальт]]&gt;0,Таблица191014[[#This Row],[Бетон]]&gt;0)</f>
        <v>0</v>
      </c>
      <c r="Q121" s="234">
        <v>118</v>
      </c>
      <c r="U121" s="285"/>
      <c r="V121" s="285">
        <f>Таблица191014[[#This Row],[Грунт]]+Таблица191014[[#This Row],[Щебень]]+Таблица191014[[#This Row],[Асфальт]]+Таблица191014[[#This Row],[Бетон]]</f>
        <v>1.1000000000000001</v>
      </c>
      <c r="W121" s="285"/>
      <c r="X121" s="285"/>
      <c r="Y121" s="285"/>
      <c r="Z121" s="285"/>
      <c r="AG121" s="234">
        <v>13</v>
      </c>
    </row>
    <row r="122" spans="1:33" s="234" customFormat="1" x14ac:dyDescent="0.35">
      <c r="A122" s="146">
        <v>119</v>
      </c>
      <c r="B122" s="146" t="s">
        <v>826</v>
      </c>
      <c r="C122" s="146" t="s">
        <v>844</v>
      </c>
      <c r="D122" s="146" t="s">
        <v>537</v>
      </c>
      <c r="E122" s="256">
        <v>0.45</v>
      </c>
      <c r="F122" s="311">
        <v>0.45</v>
      </c>
      <c r="G122" s="140"/>
      <c r="H122" s="249"/>
      <c r="I122" s="139"/>
      <c r="J122" s="232"/>
      <c r="K122" s="234">
        <v>1</v>
      </c>
      <c r="L122" s="285"/>
      <c r="M122" s="285"/>
      <c r="N122" s="286" t="b">
        <f>OR(Таблица191014[[#This Row],[Щебень]]&gt;0,Таблица191014[[#This Row],[Асфальт]]&gt;0,Таблица191014[[#This Row],[Бетон]]&gt;0)</f>
        <v>0</v>
      </c>
      <c r="O122" s="285"/>
      <c r="P122" s="285"/>
      <c r="Q122" s="285"/>
      <c r="R122" s="285"/>
      <c r="S122" s="285"/>
      <c r="T122" s="285"/>
      <c r="U122" s="285"/>
      <c r="V122" s="285">
        <f>Таблица191014[[#This Row],[Грунт]]+Таблица191014[[#This Row],[Щебень]]+Таблица191014[[#This Row],[Асфальт]]+Таблица191014[[#This Row],[Бетон]]</f>
        <v>0.45</v>
      </c>
      <c r="W122" s="285"/>
      <c r="X122" s="285"/>
      <c r="Y122" s="285"/>
      <c r="Z122" s="285"/>
      <c r="AG122" s="234">
        <v>14</v>
      </c>
    </row>
    <row r="123" spans="1:33" s="234" customFormat="1" x14ac:dyDescent="0.35">
      <c r="A123" s="146">
        <v>120</v>
      </c>
      <c r="B123" s="146" t="s">
        <v>231</v>
      </c>
      <c r="C123" s="146" t="s">
        <v>232</v>
      </c>
      <c r="D123" s="146" t="s">
        <v>539</v>
      </c>
      <c r="E123" s="254">
        <f>Таблица191014[[#This Row],[Грунт]]+Таблица191014[[#This Row],[Щебень]]+Таблица191014[[#This Row],[Асфальт]]+Таблица191014[[#This Row],[Бетон]]</f>
        <v>1.5</v>
      </c>
      <c r="F123" s="311">
        <v>1</v>
      </c>
      <c r="G123" s="140">
        <v>0.5</v>
      </c>
      <c r="H123" s="249"/>
      <c r="I123" s="139"/>
      <c r="J123" s="232"/>
      <c r="K123" s="234">
        <v>1</v>
      </c>
      <c r="N123" s="234" t="b">
        <f>OR(Таблица191014[[#This Row],[Щебень]]&gt;0,Таблица191014[[#This Row],[Асфальт]]&gt;0,Таблица191014[[#This Row],[Бетон]]&gt;0)</f>
        <v>1</v>
      </c>
      <c r="O123" s="234">
        <v>1</v>
      </c>
      <c r="Q123" s="234">
        <v>119</v>
      </c>
      <c r="U123" s="285"/>
      <c r="V123" s="285">
        <f>Таблица191014[[#This Row],[Грунт]]+Таблица191014[[#This Row],[Щебень]]+Таблица191014[[#This Row],[Асфальт]]+Таблица191014[[#This Row],[Бетон]]</f>
        <v>1.5</v>
      </c>
      <c r="W123" s="285"/>
      <c r="X123" s="285"/>
      <c r="Y123" s="285"/>
      <c r="Z123" s="285"/>
      <c r="AG123" s="234">
        <v>15</v>
      </c>
    </row>
    <row r="124" spans="1:33" s="234" customFormat="1" x14ac:dyDescent="0.35">
      <c r="A124" s="146">
        <v>121</v>
      </c>
      <c r="B124" s="146" t="s">
        <v>233</v>
      </c>
      <c r="C124" s="146" t="s">
        <v>234</v>
      </c>
      <c r="D124" s="146" t="s">
        <v>539</v>
      </c>
      <c r="E124" s="254">
        <f>Таблица191014[[#This Row],[Грунт]]+Таблица191014[[#This Row],[Щебень]]+Таблица191014[[#This Row],[Асфальт]]+Таблица191014[[#This Row],[Бетон]]</f>
        <v>3.2399999999999998</v>
      </c>
      <c r="F124" s="311">
        <v>0.154</v>
      </c>
      <c r="G124" s="247"/>
      <c r="H124" s="251">
        <v>3.0859999999999999</v>
      </c>
      <c r="I124" s="139"/>
      <c r="J124" s="232"/>
      <c r="K124" s="234" t="s">
        <v>557</v>
      </c>
      <c r="N124" s="234" t="b">
        <f>OR(Таблица191014[[#This Row],[Щебень]]&gt;0,Таблица191014[[#This Row],[Асфальт]]&gt;0,Таблица191014[[#This Row],[Бетон]]&gt;0)</f>
        <v>1</v>
      </c>
      <c r="O124" s="234">
        <v>1</v>
      </c>
      <c r="Q124" s="234">
        <v>120</v>
      </c>
      <c r="U124" s="285"/>
      <c r="V124" s="285">
        <f>Таблица191014[[#This Row],[Грунт]]+Таблица191014[[#This Row],[Щебень]]+Таблица191014[[#This Row],[Асфальт]]+Таблица191014[[#This Row],[Бетон]]</f>
        <v>3.2399999999999998</v>
      </c>
      <c r="W124" s="285"/>
      <c r="X124" s="285"/>
      <c r="Y124" s="285"/>
      <c r="Z124" s="285"/>
      <c r="AG124" s="234">
        <v>16</v>
      </c>
    </row>
    <row r="125" spans="1:33" s="234" customFormat="1" x14ac:dyDescent="0.35">
      <c r="A125" s="146">
        <v>122</v>
      </c>
      <c r="B125" s="146" t="s">
        <v>235</v>
      </c>
      <c r="C125" s="146" t="s">
        <v>236</v>
      </c>
      <c r="D125" s="146" t="s">
        <v>539</v>
      </c>
      <c r="E125" s="254">
        <f>Таблица191014[[#This Row],[Грунт]]+Таблица191014[[#This Row],[Щебень]]+Таблица191014[[#This Row],[Асфальт]]+Таблица191014[[#This Row],[Бетон]]</f>
        <v>0.5</v>
      </c>
      <c r="F125" s="311">
        <v>0.5</v>
      </c>
      <c r="G125" s="140"/>
      <c r="H125" s="249"/>
      <c r="I125" s="139"/>
      <c r="J125" s="232"/>
      <c r="K125" s="234">
        <v>1</v>
      </c>
      <c r="N125" s="234" t="b">
        <f>OR(Таблица191014[[#This Row],[Щебень]]&gt;0,Таблица191014[[#This Row],[Асфальт]]&gt;0,Таблица191014[[#This Row],[Бетон]]&gt;0)</f>
        <v>0</v>
      </c>
      <c r="Q125" s="234">
        <v>121</v>
      </c>
      <c r="U125" s="285"/>
      <c r="V125" s="285">
        <f>Таблица191014[[#This Row],[Грунт]]+Таблица191014[[#This Row],[Щебень]]+Таблица191014[[#This Row],[Асфальт]]+Таблица191014[[#This Row],[Бетон]]</f>
        <v>0.5</v>
      </c>
      <c r="W125" s="285"/>
      <c r="X125" s="285"/>
      <c r="Y125" s="285"/>
      <c r="Z125" s="285"/>
      <c r="AG125" s="234">
        <v>17</v>
      </c>
    </row>
    <row r="126" spans="1:33" s="234" customFormat="1" x14ac:dyDescent="0.35">
      <c r="A126" s="146">
        <v>123</v>
      </c>
      <c r="B126" s="146" t="s">
        <v>237</v>
      </c>
      <c r="C126" s="146" t="s">
        <v>238</v>
      </c>
      <c r="D126" s="146" t="s">
        <v>539</v>
      </c>
      <c r="E126" s="254">
        <f>Таблица191014[[#This Row],[Грунт]]+Таблица191014[[#This Row],[Щебень]]+Таблица191014[[#This Row],[Асфальт]]+Таблица191014[[#This Row],[Бетон]]</f>
        <v>1</v>
      </c>
      <c r="F126" s="311">
        <v>1</v>
      </c>
      <c r="G126" s="140"/>
      <c r="H126" s="249"/>
      <c r="I126" s="139"/>
      <c r="J126" s="232"/>
      <c r="K126" s="234">
        <v>1</v>
      </c>
      <c r="N126" s="234" t="b">
        <f>OR(Таблица191014[[#This Row],[Щебень]]&gt;0,Таблица191014[[#This Row],[Асфальт]]&gt;0,Таблица191014[[#This Row],[Бетон]]&gt;0)</f>
        <v>0</v>
      </c>
      <c r="Q126" s="234">
        <v>122</v>
      </c>
      <c r="U126" s="285"/>
      <c r="V126" s="285">
        <f>Таблица191014[[#This Row],[Грунт]]+Таблица191014[[#This Row],[Щебень]]+Таблица191014[[#This Row],[Асфальт]]+Таблица191014[[#This Row],[Бетон]]</f>
        <v>1</v>
      </c>
      <c r="W126" s="285"/>
      <c r="X126" s="285"/>
      <c r="Y126" s="285"/>
      <c r="Z126" s="285"/>
      <c r="AG126" s="234">
        <v>18</v>
      </c>
    </row>
    <row r="127" spans="1:33" s="234" customFormat="1" x14ac:dyDescent="0.35">
      <c r="A127" s="146">
        <v>124</v>
      </c>
      <c r="B127" s="146" t="s">
        <v>239</v>
      </c>
      <c r="C127" s="146" t="s">
        <v>240</v>
      </c>
      <c r="D127" s="146" t="s">
        <v>539</v>
      </c>
      <c r="E127" s="254">
        <f>Таблица191014[[#This Row],[Грунт]]+Таблица191014[[#This Row],[Щебень]]+Таблица191014[[#This Row],[Асфальт]]+Таблица191014[[#This Row],[Бетон]]</f>
        <v>1</v>
      </c>
      <c r="F127" s="311">
        <v>1</v>
      </c>
      <c r="G127" s="140"/>
      <c r="H127" s="249"/>
      <c r="I127" s="139"/>
      <c r="J127" s="232"/>
      <c r="K127" s="234">
        <v>1</v>
      </c>
      <c r="N127" s="234" t="b">
        <f>OR(Таблица191014[[#This Row],[Щебень]]&gt;0,Таблица191014[[#This Row],[Асфальт]]&gt;0,Таблица191014[[#This Row],[Бетон]]&gt;0)</f>
        <v>0</v>
      </c>
      <c r="Q127" s="234">
        <v>123</v>
      </c>
      <c r="U127" s="285"/>
      <c r="V127" s="285">
        <f>Таблица191014[[#This Row],[Грунт]]+Таблица191014[[#This Row],[Щебень]]+Таблица191014[[#This Row],[Асфальт]]+Таблица191014[[#This Row],[Бетон]]</f>
        <v>1</v>
      </c>
      <c r="W127" s="285"/>
      <c r="X127" s="285"/>
      <c r="Y127" s="285"/>
      <c r="Z127" s="285"/>
      <c r="AG127" s="234">
        <v>19</v>
      </c>
    </row>
    <row r="128" spans="1:33" s="234" customFormat="1" x14ac:dyDescent="0.35">
      <c r="A128" s="146">
        <v>125</v>
      </c>
      <c r="B128" s="146" t="s">
        <v>241</v>
      </c>
      <c r="C128" s="146" t="s">
        <v>242</v>
      </c>
      <c r="D128" s="146" t="s">
        <v>539</v>
      </c>
      <c r="E128" s="254">
        <f>Таблица191014[[#This Row],[Грунт]]+Таблица191014[[#This Row],[Щебень]]+Таблица191014[[#This Row],[Асфальт]]+Таблица191014[[#This Row],[Бетон]]</f>
        <v>0.8</v>
      </c>
      <c r="F128" s="311">
        <v>0.8</v>
      </c>
      <c r="G128" s="140"/>
      <c r="H128" s="249"/>
      <c r="I128" s="139"/>
      <c r="J128" s="232"/>
      <c r="K128" s="234">
        <v>1</v>
      </c>
      <c r="N128" s="234" t="b">
        <f>OR(Таблица191014[[#This Row],[Щебень]]&gt;0,Таблица191014[[#This Row],[Асфальт]]&gt;0,Таблица191014[[#This Row],[Бетон]]&gt;0)</f>
        <v>0</v>
      </c>
      <c r="Q128" s="234">
        <v>124</v>
      </c>
      <c r="U128" s="285"/>
      <c r="V128" s="285">
        <f>Таблица191014[[#This Row],[Грунт]]+Таблица191014[[#This Row],[Щебень]]+Таблица191014[[#This Row],[Асфальт]]+Таблица191014[[#This Row],[Бетон]]</f>
        <v>0.8</v>
      </c>
      <c r="W128" s="285"/>
      <c r="X128" s="285"/>
      <c r="Y128" s="285"/>
      <c r="Z128" s="285"/>
      <c r="AG128" s="234">
        <v>20</v>
      </c>
    </row>
    <row r="129" spans="1:33" s="234" customFormat="1" x14ac:dyDescent="0.35">
      <c r="A129" s="146">
        <v>126</v>
      </c>
      <c r="B129" s="146" t="s">
        <v>243</v>
      </c>
      <c r="C129" s="146" t="s">
        <v>244</v>
      </c>
      <c r="D129" s="146" t="s">
        <v>539</v>
      </c>
      <c r="E129" s="254">
        <f>Таблица191014[[#This Row],[Грунт]]+Таблица191014[[#This Row],[Щебень]]+Таблица191014[[#This Row],[Асфальт]]+Таблица191014[[#This Row],[Бетон]]</f>
        <v>1</v>
      </c>
      <c r="F129" s="311">
        <v>0.2</v>
      </c>
      <c r="G129" s="140">
        <v>0.8</v>
      </c>
      <c r="H129" s="249"/>
      <c r="I129" s="139"/>
      <c r="J129" s="232"/>
      <c r="K129" s="234">
        <v>1</v>
      </c>
      <c r="N129" s="234" t="b">
        <f>OR(Таблица191014[[#This Row],[Щебень]]&gt;0,Таблица191014[[#This Row],[Асфальт]]&gt;0,Таблица191014[[#This Row],[Бетон]]&gt;0)</f>
        <v>1</v>
      </c>
      <c r="O129" s="234">
        <v>1</v>
      </c>
      <c r="Q129" s="234">
        <v>125</v>
      </c>
      <c r="U129" s="285"/>
      <c r="V129" s="285">
        <f>Таблица191014[[#This Row],[Грунт]]+Таблица191014[[#This Row],[Щебень]]+Таблица191014[[#This Row],[Асфальт]]+Таблица191014[[#This Row],[Бетон]]</f>
        <v>1</v>
      </c>
      <c r="W129" s="285"/>
      <c r="X129" s="285"/>
      <c r="Y129" s="285"/>
      <c r="Z129" s="285"/>
      <c r="AG129" s="234">
        <v>21</v>
      </c>
    </row>
    <row r="130" spans="1:33" s="234" customFormat="1" x14ac:dyDescent="0.35">
      <c r="A130" s="146">
        <v>127</v>
      </c>
      <c r="B130" s="146" t="s">
        <v>245</v>
      </c>
      <c r="C130" s="146" t="s">
        <v>246</v>
      </c>
      <c r="D130" s="146" t="s">
        <v>539</v>
      </c>
      <c r="E130" s="254">
        <f>Таблица191014[[#This Row],[Грунт]]+Таблица191014[[#This Row],[Щебень]]+Таблица191014[[#This Row],[Асфальт]]+Таблица191014[[#This Row],[Бетон]]</f>
        <v>1.5</v>
      </c>
      <c r="F130" s="311">
        <v>1</v>
      </c>
      <c r="G130" s="140"/>
      <c r="H130" s="249">
        <v>0.5</v>
      </c>
      <c r="I130" s="139"/>
      <c r="J130" s="232"/>
      <c r="K130" s="234">
        <v>1</v>
      </c>
      <c r="N130" s="234" t="b">
        <f>OR(Таблица191014[[#This Row],[Щебень]]&gt;0,Таблица191014[[#This Row],[Асфальт]]&gt;0,Таблица191014[[#This Row],[Бетон]]&gt;0)</f>
        <v>1</v>
      </c>
      <c r="O130" s="234">
        <v>1</v>
      </c>
      <c r="Q130" s="234">
        <v>126</v>
      </c>
      <c r="U130" s="285"/>
      <c r="V130" s="285">
        <f>Таблица191014[[#This Row],[Грунт]]+Таблица191014[[#This Row],[Щебень]]+Таблица191014[[#This Row],[Асфальт]]+Таблица191014[[#This Row],[Бетон]]</f>
        <v>1.5</v>
      </c>
      <c r="W130" s="285"/>
      <c r="X130" s="285"/>
      <c r="Y130" s="285"/>
      <c r="Z130" s="285"/>
      <c r="AG130" s="234">
        <v>22</v>
      </c>
    </row>
    <row r="131" spans="1:33" s="234" customFormat="1" x14ac:dyDescent="0.35">
      <c r="A131" s="146">
        <v>128</v>
      </c>
      <c r="B131" s="146" t="s">
        <v>247</v>
      </c>
      <c r="C131" s="146" t="s">
        <v>248</v>
      </c>
      <c r="D131" s="146" t="s">
        <v>539</v>
      </c>
      <c r="E131" s="254">
        <f>Таблица191014[[#This Row],[Грунт]]+Таблица191014[[#This Row],[Щебень]]+Таблица191014[[#This Row],[Асфальт]]+Таблица191014[[#This Row],[Бетон]]</f>
        <v>0.8</v>
      </c>
      <c r="F131" s="311">
        <v>0.8</v>
      </c>
      <c r="G131" s="140"/>
      <c r="H131" s="249"/>
      <c r="I131" s="139"/>
      <c r="J131" s="232"/>
      <c r="K131" s="234">
        <v>1</v>
      </c>
      <c r="N131" s="234" t="b">
        <f>OR(Таблица191014[[#This Row],[Щебень]]&gt;0,Таблица191014[[#This Row],[Асфальт]]&gt;0,Таблица191014[[#This Row],[Бетон]]&gt;0)</f>
        <v>0</v>
      </c>
      <c r="Q131" s="234">
        <v>127</v>
      </c>
      <c r="U131" s="285"/>
      <c r="V131" s="285">
        <f>Таблица191014[[#This Row],[Грунт]]+Таблица191014[[#This Row],[Щебень]]+Таблица191014[[#This Row],[Асфальт]]+Таблица191014[[#This Row],[Бетон]]</f>
        <v>0.8</v>
      </c>
      <c r="W131" s="285"/>
      <c r="X131" s="285"/>
      <c r="Y131" s="285"/>
      <c r="Z131" s="285"/>
      <c r="AG131" s="234">
        <v>23</v>
      </c>
    </row>
    <row r="132" spans="1:33" s="234" customFormat="1" x14ac:dyDescent="0.35">
      <c r="A132" s="146">
        <v>129</v>
      </c>
      <c r="B132" s="146" t="s">
        <v>249</v>
      </c>
      <c r="C132" s="146" t="s">
        <v>250</v>
      </c>
      <c r="D132" s="146" t="s">
        <v>539</v>
      </c>
      <c r="E132" s="254">
        <f>Таблица191014[[#This Row],[Грунт]]+Таблица191014[[#This Row],[Щебень]]+Таблица191014[[#This Row],[Асфальт]]+Таблица191014[[#This Row],[Бетон]]</f>
        <v>1</v>
      </c>
      <c r="F132" s="311">
        <v>0.7</v>
      </c>
      <c r="G132" s="140">
        <v>0.3</v>
      </c>
      <c r="H132" s="249"/>
      <c r="I132" s="139"/>
      <c r="J132" s="232"/>
      <c r="K132" s="234">
        <v>1</v>
      </c>
      <c r="N132" s="234" t="b">
        <f>OR(Таблица191014[[#This Row],[Щебень]]&gt;0,Таблица191014[[#This Row],[Асфальт]]&gt;0,Таблица191014[[#This Row],[Бетон]]&gt;0)</f>
        <v>1</v>
      </c>
      <c r="O132" s="234">
        <v>1</v>
      </c>
      <c r="Q132" s="234">
        <v>128</v>
      </c>
      <c r="U132" s="285"/>
      <c r="V132" s="285">
        <f>Таблица191014[[#This Row],[Грунт]]+Таблица191014[[#This Row],[Щебень]]+Таблица191014[[#This Row],[Асфальт]]+Таблица191014[[#This Row],[Бетон]]</f>
        <v>1</v>
      </c>
      <c r="W132" s="285"/>
      <c r="X132" s="285"/>
      <c r="Y132" s="285"/>
      <c r="Z132" s="285"/>
      <c r="AG132" s="234">
        <v>24</v>
      </c>
    </row>
    <row r="133" spans="1:33" s="234" customFormat="1" x14ac:dyDescent="0.35">
      <c r="A133" s="146">
        <v>130</v>
      </c>
      <c r="B133" s="146" t="s">
        <v>251</v>
      </c>
      <c r="C133" s="146" t="s">
        <v>252</v>
      </c>
      <c r="D133" s="146" t="s">
        <v>539</v>
      </c>
      <c r="E133" s="254">
        <f>Таблица191014[[#This Row],[Грунт]]+Таблица191014[[#This Row],[Щебень]]+Таблица191014[[#This Row],[Асфальт]]+Таблица191014[[#This Row],[Бетон]]</f>
        <v>0.8</v>
      </c>
      <c r="F133" s="311">
        <v>0.8</v>
      </c>
      <c r="G133" s="140"/>
      <c r="H133" s="249"/>
      <c r="I133" s="139"/>
      <c r="J133" s="232"/>
      <c r="K133" s="234">
        <v>1</v>
      </c>
      <c r="N133" s="234" t="b">
        <f>OR(Таблица191014[[#This Row],[Щебень]]&gt;0,Таблица191014[[#This Row],[Асфальт]]&gt;0,Таблица191014[[#This Row],[Бетон]]&gt;0)</f>
        <v>0</v>
      </c>
      <c r="Q133" s="234">
        <v>129</v>
      </c>
      <c r="U133" s="285"/>
      <c r="V133" s="285">
        <f>Таблица191014[[#This Row],[Грунт]]+Таблица191014[[#This Row],[Щебень]]+Таблица191014[[#This Row],[Асфальт]]+Таблица191014[[#This Row],[Бетон]]</f>
        <v>0.8</v>
      </c>
      <c r="W133" s="285"/>
      <c r="X133" s="285"/>
      <c r="Y133" s="285"/>
      <c r="Z133" s="285"/>
      <c r="AG133" s="234">
        <v>25</v>
      </c>
    </row>
    <row r="134" spans="1:33" s="234" customFormat="1" x14ac:dyDescent="0.35">
      <c r="A134" s="146">
        <v>131</v>
      </c>
      <c r="B134" s="146" t="s">
        <v>253</v>
      </c>
      <c r="C134" s="146" t="s">
        <v>254</v>
      </c>
      <c r="D134" s="146" t="s">
        <v>539</v>
      </c>
      <c r="E134" s="254">
        <f>Таблица191014[[#This Row],[Грунт]]+Таблица191014[[#This Row],[Щебень]]+Таблица191014[[#This Row],[Асфальт]]+Таблица191014[[#This Row],[Бетон]]</f>
        <v>1.5</v>
      </c>
      <c r="F134" s="311">
        <v>1.5</v>
      </c>
      <c r="G134" s="140"/>
      <c r="H134" s="249"/>
      <c r="I134" s="139"/>
      <c r="J134" s="232"/>
      <c r="K134" s="234">
        <v>1</v>
      </c>
      <c r="N134" s="234" t="b">
        <f>OR(Таблица191014[[#This Row],[Щебень]]&gt;0,Таблица191014[[#This Row],[Асфальт]]&gt;0,Таблица191014[[#This Row],[Бетон]]&gt;0)</f>
        <v>0</v>
      </c>
      <c r="Q134" s="234">
        <v>130</v>
      </c>
      <c r="U134" s="285"/>
      <c r="V134" s="285">
        <f>Таблица191014[[#This Row],[Грунт]]+Таблица191014[[#This Row],[Щебень]]+Таблица191014[[#This Row],[Асфальт]]+Таблица191014[[#This Row],[Бетон]]</f>
        <v>1.5</v>
      </c>
      <c r="W134" s="285"/>
      <c r="X134" s="285"/>
      <c r="Y134" s="285"/>
      <c r="Z134" s="285"/>
      <c r="AG134" s="234">
        <v>26</v>
      </c>
    </row>
    <row r="135" spans="1:33" s="234" customFormat="1" x14ac:dyDescent="0.35">
      <c r="A135" s="146">
        <v>132</v>
      </c>
      <c r="B135" s="146" t="s">
        <v>255</v>
      </c>
      <c r="C135" s="146" t="s">
        <v>256</v>
      </c>
      <c r="D135" s="146" t="s">
        <v>539</v>
      </c>
      <c r="E135" s="254">
        <f>Таблица191014[[#This Row],[Грунт]]+Таблица191014[[#This Row],[Щебень]]+Таблица191014[[#This Row],[Асфальт]]+Таблица191014[[#This Row],[Бетон]]</f>
        <v>0.8</v>
      </c>
      <c r="F135" s="311">
        <v>0.8</v>
      </c>
      <c r="G135" s="140"/>
      <c r="H135" s="249"/>
      <c r="I135" s="139"/>
      <c r="J135" s="232"/>
      <c r="K135" s="234">
        <v>1</v>
      </c>
      <c r="N135" s="234" t="b">
        <f>OR(Таблица191014[[#This Row],[Щебень]]&gt;0,Таблица191014[[#This Row],[Асфальт]]&gt;0,Таблица191014[[#This Row],[Бетон]]&gt;0)</f>
        <v>0</v>
      </c>
      <c r="Q135" s="234">
        <v>131</v>
      </c>
      <c r="U135" s="285"/>
      <c r="V135" s="285">
        <f>Таблица191014[[#This Row],[Грунт]]+Таблица191014[[#This Row],[Щебень]]+Таблица191014[[#This Row],[Асфальт]]+Таблица191014[[#This Row],[Бетон]]</f>
        <v>0.8</v>
      </c>
      <c r="W135" s="285"/>
      <c r="X135" s="285"/>
      <c r="Y135" s="285"/>
      <c r="Z135" s="285"/>
      <c r="AG135" s="234">
        <v>27</v>
      </c>
    </row>
    <row r="136" spans="1:33" s="234" customFormat="1" x14ac:dyDescent="0.35">
      <c r="A136" s="146">
        <v>133</v>
      </c>
      <c r="B136" s="146" t="s">
        <v>257</v>
      </c>
      <c r="C136" s="146" t="s">
        <v>258</v>
      </c>
      <c r="D136" s="146" t="s">
        <v>539</v>
      </c>
      <c r="E136" s="254">
        <f>Таблица191014[[#This Row],[Грунт]]+Таблица191014[[#This Row],[Щебень]]+Таблица191014[[#This Row],[Асфальт]]+Таблица191014[[#This Row],[Бетон]]</f>
        <v>0.5</v>
      </c>
      <c r="F136" s="311">
        <v>0.5</v>
      </c>
      <c r="G136" s="140"/>
      <c r="H136" s="249"/>
      <c r="I136" s="139"/>
      <c r="J136" s="232"/>
      <c r="K136" s="234">
        <v>1</v>
      </c>
      <c r="N136" s="234" t="b">
        <f>OR(Таблица191014[[#This Row],[Щебень]]&gt;0,Таблица191014[[#This Row],[Асфальт]]&gt;0,Таблица191014[[#This Row],[Бетон]]&gt;0)</f>
        <v>0</v>
      </c>
      <c r="Q136" s="234">
        <v>132</v>
      </c>
      <c r="U136" s="285"/>
      <c r="V136" s="285">
        <f>Таблица191014[[#This Row],[Грунт]]+Таблица191014[[#This Row],[Щебень]]+Таблица191014[[#This Row],[Асфальт]]+Таблица191014[[#This Row],[Бетон]]</f>
        <v>0.5</v>
      </c>
      <c r="W136" s="285"/>
      <c r="X136" s="285"/>
      <c r="Y136" s="285"/>
      <c r="Z136" s="285"/>
      <c r="AG136" s="234">
        <v>28</v>
      </c>
    </row>
    <row r="137" spans="1:33" s="234" customFormat="1" x14ac:dyDescent="0.35">
      <c r="A137" s="146">
        <v>134</v>
      </c>
      <c r="B137" s="146" t="s">
        <v>259</v>
      </c>
      <c r="C137" s="146" t="s">
        <v>260</v>
      </c>
      <c r="D137" s="146" t="s">
        <v>539</v>
      </c>
      <c r="E137" s="254">
        <f>Таблица191014[[#This Row],[Грунт]]+Таблица191014[[#This Row],[Щебень]]+Таблица191014[[#This Row],[Асфальт]]+Таблица191014[[#This Row],[Бетон]]</f>
        <v>0.5</v>
      </c>
      <c r="F137" s="311">
        <v>0.5</v>
      </c>
      <c r="G137" s="140"/>
      <c r="H137" s="249"/>
      <c r="I137" s="139"/>
      <c r="J137" s="232"/>
      <c r="K137" s="234">
        <v>1</v>
      </c>
      <c r="N137" s="234" t="b">
        <f>OR(Таблица191014[[#This Row],[Щебень]]&gt;0,Таблица191014[[#This Row],[Асфальт]]&gt;0,Таблица191014[[#This Row],[Бетон]]&gt;0)</f>
        <v>0</v>
      </c>
      <c r="Q137" s="234">
        <v>133</v>
      </c>
      <c r="U137" s="285"/>
      <c r="V137" s="285">
        <f>Таблица191014[[#This Row],[Грунт]]+Таблица191014[[#This Row],[Щебень]]+Таблица191014[[#This Row],[Асфальт]]+Таблица191014[[#This Row],[Бетон]]</f>
        <v>0.5</v>
      </c>
      <c r="W137" s="285"/>
      <c r="X137" s="285"/>
      <c r="Y137" s="285"/>
      <c r="Z137" s="285"/>
      <c r="AG137" s="234">
        <v>29</v>
      </c>
    </row>
    <row r="138" spans="1:33" s="234" customFormat="1" x14ac:dyDescent="0.35">
      <c r="A138" s="146">
        <v>135</v>
      </c>
      <c r="B138" s="146" t="s">
        <v>261</v>
      </c>
      <c r="C138" s="146" t="s">
        <v>560</v>
      </c>
      <c r="D138" s="146" t="s">
        <v>539</v>
      </c>
      <c r="E138" s="254">
        <f>Таблица191014[[#This Row],[Грунт]]+Таблица191014[[#This Row],[Щебень]]+Таблица191014[[#This Row],[Асфальт]]+Таблица191014[[#This Row],[Бетон]]</f>
        <v>0.5</v>
      </c>
      <c r="F138" s="311">
        <v>0.5</v>
      </c>
      <c r="G138" s="140"/>
      <c r="H138" s="249"/>
      <c r="I138" s="139"/>
      <c r="J138" s="232"/>
      <c r="K138" s="234">
        <v>1</v>
      </c>
      <c r="N138" s="234" t="b">
        <f>OR(Таблица191014[[#This Row],[Щебень]]&gt;0,Таблица191014[[#This Row],[Асфальт]]&gt;0,Таблица191014[[#This Row],[Бетон]]&gt;0)</f>
        <v>0</v>
      </c>
      <c r="Q138" s="234">
        <v>134</v>
      </c>
      <c r="U138" s="285"/>
      <c r="V138" s="285">
        <f>Таблица191014[[#This Row],[Грунт]]+Таблица191014[[#This Row],[Щебень]]+Таблица191014[[#This Row],[Асфальт]]+Таблица191014[[#This Row],[Бетон]]</f>
        <v>0.5</v>
      </c>
      <c r="W138" s="285"/>
      <c r="X138" s="285"/>
      <c r="Y138" s="285"/>
      <c r="Z138" s="285"/>
      <c r="AG138" s="234">
        <v>30</v>
      </c>
    </row>
    <row r="139" spans="1:33" s="234" customFormat="1" x14ac:dyDescent="0.35">
      <c r="A139" s="146">
        <v>136</v>
      </c>
      <c r="B139" s="146" t="s">
        <v>262</v>
      </c>
      <c r="C139" s="146" t="s">
        <v>263</v>
      </c>
      <c r="D139" s="146" t="s">
        <v>539</v>
      </c>
      <c r="E139" s="254">
        <f>Таблица191014[[#This Row],[Грунт]]+Таблица191014[[#This Row],[Щебень]]+Таблица191014[[#This Row],[Асфальт]]+Таблица191014[[#This Row],[Бетон]]</f>
        <v>0.5</v>
      </c>
      <c r="F139" s="311">
        <v>0.5</v>
      </c>
      <c r="G139" s="140"/>
      <c r="H139" s="249"/>
      <c r="I139" s="139"/>
      <c r="J139" s="232"/>
      <c r="K139" s="234">
        <v>1</v>
      </c>
      <c r="N139" s="234" t="b">
        <f>OR(Таблица191014[[#This Row],[Щебень]]&gt;0,Таблица191014[[#This Row],[Асфальт]]&gt;0,Таблица191014[[#This Row],[Бетон]]&gt;0)</f>
        <v>0</v>
      </c>
      <c r="Q139" s="234">
        <v>135</v>
      </c>
      <c r="U139" s="285"/>
      <c r="V139" s="285">
        <f>Таблица191014[[#This Row],[Грунт]]+Таблица191014[[#This Row],[Щебень]]+Таблица191014[[#This Row],[Асфальт]]+Таблица191014[[#This Row],[Бетон]]</f>
        <v>0.5</v>
      </c>
      <c r="W139" s="285"/>
      <c r="X139" s="285"/>
      <c r="Y139" s="285"/>
      <c r="Z139" s="285"/>
      <c r="AG139" s="234">
        <v>31</v>
      </c>
    </row>
    <row r="140" spans="1:33" s="234" customFormat="1" x14ac:dyDescent="0.35">
      <c r="A140" s="146">
        <v>137</v>
      </c>
      <c r="B140" s="146" t="s">
        <v>264</v>
      </c>
      <c r="C140" s="146" t="s">
        <v>265</v>
      </c>
      <c r="D140" s="146" t="s">
        <v>539</v>
      </c>
      <c r="E140" s="254">
        <f>Таблица191014[[#This Row],[Грунт]]+Таблица191014[[#This Row],[Щебень]]+Таблица191014[[#This Row],[Асфальт]]+Таблица191014[[#This Row],[Бетон]]</f>
        <v>0.5</v>
      </c>
      <c r="F140" s="311">
        <v>0.5</v>
      </c>
      <c r="G140" s="140"/>
      <c r="H140" s="249"/>
      <c r="I140" s="139"/>
      <c r="J140" s="232"/>
      <c r="K140" s="234">
        <v>1</v>
      </c>
      <c r="N140" s="234" t="b">
        <f>OR(Таблица191014[[#This Row],[Щебень]]&gt;0,Таблица191014[[#This Row],[Асфальт]]&gt;0,Таблица191014[[#This Row],[Бетон]]&gt;0)</f>
        <v>0</v>
      </c>
      <c r="Q140" s="234">
        <v>136</v>
      </c>
      <c r="U140" s="285"/>
      <c r="V140" s="285">
        <f>Таблица191014[[#This Row],[Грунт]]+Таблица191014[[#This Row],[Щебень]]+Таблица191014[[#This Row],[Асфальт]]+Таблица191014[[#This Row],[Бетон]]</f>
        <v>0.5</v>
      </c>
      <c r="W140" s="285"/>
      <c r="X140" s="285"/>
      <c r="Y140" s="285"/>
      <c r="Z140" s="285"/>
      <c r="AG140" s="234">
        <v>32</v>
      </c>
    </row>
    <row r="141" spans="1:33" s="234" customFormat="1" x14ac:dyDescent="0.35">
      <c r="A141" s="146">
        <v>138</v>
      </c>
      <c r="B141" s="146" t="s">
        <v>266</v>
      </c>
      <c r="C141" s="146" t="s">
        <v>267</v>
      </c>
      <c r="D141" s="146" t="s">
        <v>540</v>
      </c>
      <c r="E141" s="254">
        <f>Таблица191014[[#This Row],[Грунт]]+Таблица191014[[#This Row],[Щебень]]+Таблица191014[[#This Row],[Асфальт]]+Таблица191014[[#This Row],[Бетон]]</f>
        <v>3.3</v>
      </c>
      <c r="F141" s="311"/>
      <c r="G141" s="140">
        <v>0.9</v>
      </c>
      <c r="H141" s="249">
        <v>2.4</v>
      </c>
      <c r="I141" s="139"/>
      <c r="J141" s="232"/>
      <c r="K141" s="234">
        <v>1</v>
      </c>
      <c r="N141" s="234" t="b">
        <f>OR(Таблица191014[[#This Row],[Щебень]]&gt;0,Таблица191014[[#This Row],[Асфальт]]&gt;0,Таблица191014[[#This Row],[Бетон]]&gt;0)</f>
        <v>1</v>
      </c>
      <c r="O141" s="234">
        <v>1</v>
      </c>
      <c r="Q141" s="234">
        <v>137</v>
      </c>
      <c r="U141" s="285"/>
      <c r="V141" s="285">
        <f>Таблица191014[[#This Row],[Грунт]]+Таблица191014[[#This Row],[Щебень]]+Таблица191014[[#This Row],[Асфальт]]+Таблица191014[[#This Row],[Бетон]]</f>
        <v>3.3</v>
      </c>
      <c r="W141" s="285"/>
      <c r="X141" s="285"/>
      <c r="Y141" s="285"/>
      <c r="Z141" s="285"/>
      <c r="AG141" s="234">
        <v>33</v>
      </c>
    </row>
    <row r="142" spans="1:33" s="234" customFormat="1" x14ac:dyDescent="0.35">
      <c r="A142" s="146">
        <v>139</v>
      </c>
      <c r="B142" s="146" t="s">
        <v>268</v>
      </c>
      <c r="C142" s="146" t="s">
        <v>269</v>
      </c>
      <c r="D142" s="146" t="s">
        <v>540</v>
      </c>
      <c r="E142" s="254">
        <f>Таблица191014[[#This Row],[Грунт]]+Таблица191014[[#This Row],[Щебень]]+Таблица191014[[#This Row],[Асфальт]]+Таблица191014[[#This Row],[Бетон]]</f>
        <v>1</v>
      </c>
      <c r="F142" s="311">
        <v>1</v>
      </c>
      <c r="G142" s="140"/>
      <c r="H142" s="249"/>
      <c r="I142" s="139"/>
      <c r="J142" s="232"/>
      <c r="K142" s="234">
        <v>1</v>
      </c>
      <c r="N142" s="234" t="b">
        <f>OR(Таблица191014[[#This Row],[Щебень]]&gt;0,Таблица191014[[#This Row],[Асфальт]]&gt;0,Таблица191014[[#This Row],[Бетон]]&gt;0)</f>
        <v>0</v>
      </c>
      <c r="Q142" s="234">
        <v>138</v>
      </c>
      <c r="U142" s="285"/>
      <c r="V142" s="285">
        <f>Таблица191014[[#This Row],[Грунт]]+Таблица191014[[#This Row],[Щебень]]+Таблица191014[[#This Row],[Асфальт]]+Таблица191014[[#This Row],[Бетон]]</f>
        <v>1</v>
      </c>
      <c r="W142" s="285"/>
      <c r="X142" s="285"/>
      <c r="Y142" s="285"/>
      <c r="Z142" s="285"/>
      <c r="AG142" s="234">
        <v>34</v>
      </c>
    </row>
    <row r="143" spans="1:33" s="234" customFormat="1" x14ac:dyDescent="0.35">
      <c r="A143" s="146">
        <v>140</v>
      </c>
      <c r="B143" s="146" t="s">
        <v>270</v>
      </c>
      <c r="C143" s="146" t="s">
        <v>271</v>
      </c>
      <c r="D143" s="285" t="s">
        <v>540</v>
      </c>
      <c r="E143" s="257">
        <v>1.1000000000000001</v>
      </c>
      <c r="F143" s="323">
        <v>1.1000000000000001</v>
      </c>
      <c r="G143" s="324"/>
      <c r="H143" s="325"/>
      <c r="I143" s="139"/>
      <c r="J143" s="232"/>
      <c r="K143" s="234">
        <v>1</v>
      </c>
      <c r="N143" s="234" t="b">
        <f>OR(Таблица191014[[#This Row],[Щебень]]&gt;0,Таблица191014[[#This Row],[Асфальт]]&gt;0,Таблица191014[[#This Row],[Бетон]]&gt;0)</f>
        <v>0</v>
      </c>
      <c r="Q143" s="234">
        <v>24</v>
      </c>
      <c r="U143" s="285"/>
      <c r="V143" s="285">
        <f>Таблица191014[[#This Row],[Грунт]]+Таблица191014[[#This Row],[Щебень]]+Таблица191014[[#This Row],[Асфальт]]+Таблица191014[[#This Row],[Бетон]]</f>
        <v>1.1000000000000001</v>
      </c>
      <c r="W143" s="285"/>
      <c r="X143" s="285"/>
      <c r="Y143" s="285"/>
      <c r="Z143" s="285"/>
      <c r="AG143" s="234">
        <v>35</v>
      </c>
    </row>
    <row r="144" spans="1:33" s="234" customFormat="1" x14ac:dyDescent="0.35">
      <c r="A144" s="146">
        <v>141</v>
      </c>
      <c r="B144" s="146" t="s">
        <v>272</v>
      </c>
      <c r="C144" s="146" t="s">
        <v>273</v>
      </c>
      <c r="D144" s="146" t="s">
        <v>540</v>
      </c>
      <c r="E144" s="254">
        <f>Таблица191014[[#This Row],[Грунт]]+Таблица191014[[#This Row],[Щебень]]+Таблица191014[[#This Row],[Асфальт]]+Таблица191014[[#This Row],[Бетон]]</f>
        <v>2.2000000000000002</v>
      </c>
      <c r="F144" s="311">
        <v>1.2</v>
      </c>
      <c r="G144" s="140">
        <v>1</v>
      </c>
      <c r="H144" s="249"/>
      <c r="I144" s="139"/>
      <c r="J144" s="232"/>
      <c r="K144" s="234" t="s">
        <v>557</v>
      </c>
      <c r="N144" s="234" t="b">
        <f>OR(Таблица191014[[#This Row],[Щебень]]&gt;0,Таблица191014[[#This Row],[Асфальт]]&gt;0,Таблица191014[[#This Row],[Бетон]]&gt;0)</f>
        <v>1</v>
      </c>
      <c r="O144" s="234">
        <v>1</v>
      </c>
      <c r="Q144" s="234">
        <v>140</v>
      </c>
      <c r="U144" s="285"/>
      <c r="V144" s="285">
        <f>Таблица191014[[#This Row],[Грунт]]+Таблица191014[[#This Row],[Щебень]]+Таблица191014[[#This Row],[Асфальт]]+Таблица191014[[#This Row],[Бетон]]</f>
        <v>2.2000000000000002</v>
      </c>
      <c r="W144" s="285"/>
      <c r="X144" s="285"/>
      <c r="Y144" s="285"/>
      <c r="Z144" s="285"/>
      <c r="AG144" s="234">
        <v>36</v>
      </c>
    </row>
    <row r="145" spans="1:33" s="234" customFormat="1" x14ac:dyDescent="0.35">
      <c r="A145" s="146">
        <v>142</v>
      </c>
      <c r="B145" s="146" t="s">
        <v>274</v>
      </c>
      <c r="C145" s="146" t="s">
        <v>275</v>
      </c>
      <c r="D145" s="146" t="s">
        <v>540</v>
      </c>
      <c r="E145" s="254">
        <f>Таблица191014[[#This Row],[Грунт]]+Таблица191014[[#This Row],[Щебень]]+Таблица191014[[#This Row],[Асфальт]]+Таблица191014[[#This Row],[Бетон]]</f>
        <v>1.7</v>
      </c>
      <c r="F145" s="311">
        <v>1</v>
      </c>
      <c r="G145" s="140">
        <v>0.7</v>
      </c>
      <c r="H145" s="249"/>
      <c r="I145" s="139"/>
      <c r="J145" s="232"/>
      <c r="K145" s="234" t="s">
        <v>557</v>
      </c>
      <c r="N145" s="234" t="b">
        <f>OR(Таблица191014[[#This Row],[Щебень]]&gt;0,Таблица191014[[#This Row],[Асфальт]]&gt;0,Таблица191014[[#This Row],[Бетон]]&gt;0)</f>
        <v>1</v>
      </c>
      <c r="O145" s="234">
        <v>1</v>
      </c>
      <c r="Q145" s="234">
        <v>141</v>
      </c>
      <c r="U145" s="285"/>
      <c r="V145" s="285">
        <f>Таблица191014[[#This Row],[Грунт]]+Таблица191014[[#This Row],[Щебень]]+Таблица191014[[#This Row],[Асфальт]]+Таблица191014[[#This Row],[Бетон]]</f>
        <v>1.7</v>
      </c>
      <c r="W145" s="285"/>
      <c r="X145" s="285"/>
      <c r="Y145" s="285"/>
      <c r="Z145" s="285"/>
      <c r="AG145" s="234">
        <v>37</v>
      </c>
    </row>
    <row r="146" spans="1:33" s="234" customFormat="1" x14ac:dyDescent="0.35">
      <c r="A146" s="146">
        <v>143</v>
      </c>
      <c r="B146" s="146" t="s">
        <v>276</v>
      </c>
      <c r="C146" s="146" t="s">
        <v>277</v>
      </c>
      <c r="D146" s="146" t="s">
        <v>540</v>
      </c>
      <c r="E146" s="254">
        <f>Таблица191014[[#This Row],[Грунт]]+Таблица191014[[#This Row],[Щебень]]+Таблица191014[[#This Row],[Асфальт]]+Таблица191014[[#This Row],[Бетон]]</f>
        <v>1.7</v>
      </c>
      <c r="F146" s="311">
        <v>1.7</v>
      </c>
      <c r="G146" s="140"/>
      <c r="H146" s="249"/>
      <c r="I146" s="139"/>
      <c r="J146" s="232"/>
      <c r="K146" s="234" t="s">
        <v>557</v>
      </c>
      <c r="N146" s="234" t="b">
        <f>OR(Таблица191014[[#This Row],[Щебень]]&gt;0,Таблица191014[[#This Row],[Асфальт]]&gt;0,Таблица191014[[#This Row],[Бетон]]&gt;0)</f>
        <v>0</v>
      </c>
      <c r="Q146" s="234">
        <v>142</v>
      </c>
      <c r="U146" s="285"/>
      <c r="V146" s="285">
        <f>Таблица191014[[#This Row],[Грунт]]+Таблица191014[[#This Row],[Щебень]]+Таблица191014[[#This Row],[Асфальт]]+Таблица191014[[#This Row],[Бетон]]</f>
        <v>1.7</v>
      </c>
      <c r="W146" s="285"/>
      <c r="X146" s="285"/>
      <c r="Y146" s="285"/>
      <c r="Z146" s="285"/>
      <c r="AG146" s="234">
        <v>38</v>
      </c>
    </row>
    <row r="147" spans="1:33" s="234" customFormat="1" x14ac:dyDescent="0.35">
      <c r="A147" s="146">
        <v>144</v>
      </c>
      <c r="B147" s="146" t="s">
        <v>278</v>
      </c>
      <c r="C147" s="146" t="s">
        <v>279</v>
      </c>
      <c r="D147" s="146" t="s">
        <v>540</v>
      </c>
      <c r="E147" s="254">
        <f>Таблица191014[[#This Row],[Грунт]]+Таблица191014[[#This Row],[Щебень]]+Таблица191014[[#This Row],[Асфальт]]+Таблица191014[[#This Row],[Бетон]]</f>
        <v>1.4</v>
      </c>
      <c r="F147" s="311">
        <v>1.4</v>
      </c>
      <c r="G147" s="140"/>
      <c r="H147" s="249"/>
      <c r="I147" s="139"/>
      <c r="J147" s="232"/>
      <c r="K147" s="234" t="s">
        <v>557</v>
      </c>
      <c r="N147" s="234" t="b">
        <f>OR(Таблица191014[[#This Row],[Щебень]]&gt;0,Таблица191014[[#This Row],[Асфальт]]&gt;0,Таблица191014[[#This Row],[Бетон]]&gt;0)</f>
        <v>0</v>
      </c>
      <c r="Q147" s="234">
        <v>143</v>
      </c>
      <c r="U147" s="285"/>
      <c r="V147" s="285">
        <f>Таблица191014[[#This Row],[Грунт]]+Таблица191014[[#This Row],[Щебень]]+Таблица191014[[#This Row],[Асфальт]]+Таблица191014[[#This Row],[Бетон]]</f>
        <v>1.4</v>
      </c>
      <c r="W147" s="285"/>
      <c r="X147" s="285"/>
      <c r="Y147" s="285"/>
      <c r="Z147" s="285"/>
      <c r="AG147" s="234">
        <v>39</v>
      </c>
    </row>
    <row r="148" spans="1:33" s="234" customFormat="1" x14ac:dyDescent="0.35">
      <c r="A148" s="146">
        <v>145</v>
      </c>
      <c r="B148" s="146" t="s">
        <v>280</v>
      </c>
      <c r="C148" s="146" t="s">
        <v>281</v>
      </c>
      <c r="D148" s="146" t="s">
        <v>571</v>
      </c>
      <c r="E148" s="257">
        <f>Таблица191014[[#This Row],[Грунт]]+Таблица191014[[#This Row],[Щебень]]+Таблица191014[[#This Row],[Асфальт]]+Таблица191014[[#This Row],[Бетон]]</f>
        <v>6.1000000000000005</v>
      </c>
      <c r="F148" s="311">
        <v>4.2</v>
      </c>
      <c r="G148" s="140">
        <v>0.4</v>
      </c>
      <c r="H148" s="249">
        <v>0.6</v>
      </c>
      <c r="I148" s="139">
        <v>0.9</v>
      </c>
      <c r="J148" s="232"/>
      <c r="K148" s="234" t="s">
        <v>557</v>
      </c>
      <c r="N148" s="234" t="b">
        <f>OR(Таблица191014[[#This Row],[Щебень]]&gt;0,Таблица191014[[#This Row],[Асфальт]]&gt;0,Таблица191014[[#This Row],[Бетон]]&gt;0)</f>
        <v>1</v>
      </c>
      <c r="O148" s="234">
        <v>1</v>
      </c>
      <c r="Q148" s="234">
        <v>144</v>
      </c>
      <c r="U148" s="285"/>
      <c r="V148" s="285">
        <f>Таблица191014[[#This Row],[Грунт]]+Таблица191014[[#This Row],[Щебень]]+Таблица191014[[#This Row],[Асфальт]]+Таблица191014[[#This Row],[Бетон]]</f>
        <v>6.1000000000000005</v>
      </c>
      <c r="W148" s="285"/>
      <c r="X148" s="285"/>
      <c r="Y148" s="285"/>
      <c r="Z148" s="285"/>
      <c r="AG148" s="234">
        <v>40</v>
      </c>
    </row>
    <row r="149" spans="1:33" s="234" customFormat="1" x14ac:dyDescent="0.35">
      <c r="A149" s="146">
        <v>146</v>
      </c>
      <c r="B149" s="146" t="s">
        <v>282</v>
      </c>
      <c r="C149" s="146" t="s">
        <v>283</v>
      </c>
      <c r="D149" s="146" t="s">
        <v>571</v>
      </c>
      <c r="E149" s="257">
        <f>Таблица191014[[#This Row],[Грунт]]+Таблица191014[[#This Row],[Щебень]]+Таблица191014[[#This Row],[Асфальт]]+Таблица191014[[#This Row],[Бетон]]</f>
        <v>1.5</v>
      </c>
      <c r="F149" s="311">
        <v>1.5</v>
      </c>
      <c r="G149" s="140"/>
      <c r="H149" s="249"/>
      <c r="I149" s="139"/>
      <c r="J149" s="232"/>
      <c r="K149" s="234">
        <v>1</v>
      </c>
      <c r="N149" s="234" t="b">
        <f>OR(Таблица191014[[#This Row],[Щебень]]&gt;0,Таблица191014[[#This Row],[Асфальт]]&gt;0,Таблица191014[[#This Row],[Бетон]]&gt;0)</f>
        <v>0</v>
      </c>
      <c r="Q149" s="234">
        <v>145</v>
      </c>
      <c r="U149" s="285"/>
      <c r="V149" s="285">
        <f>Таблица191014[[#This Row],[Грунт]]+Таблица191014[[#This Row],[Щебень]]+Таблица191014[[#This Row],[Асфальт]]+Таблица191014[[#This Row],[Бетон]]</f>
        <v>1.5</v>
      </c>
      <c r="W149" s="285"/>
      <c r="X149" s="285"/>
      <c r="Y149" s="285"/>
      <c r="Z149" s="285"/>
      <c r="AG149" s="234">
        <v>41</v>
      </c>
    </row>
    <row r="150" spans="1:33" s="234" customFormat="1" x14ac:dyDescent="0.35">
      <c r="A150" s="146">
        <v>147</v>
      </c>
      <c r="B150" s="146" t="s">
        <v>284</v>
      </c>
      <c r="C150" s="146" t="s">
        <v>285</v>
      </c>
      <c r="D150" s="146" t="s">
        <v>571</v>
      </c>
      <c r="E150" s="257">
        <f>Таблица191014[[#This Row],[Грунт]]+Таблица191014[[#This Row],[Щебень]]+Таблица191014[[#This Row],[Асфальт]]+Таблица191014[[#This Row],[Бетон]]</f>
        <v>1</v>
      </c>
      <c r="F150" s="311">
        <v>1</v>
      </c>
      <c r="G150" s="140"/>
      <c r="H150" s="249"/>
      <c r="I150" s="139"/>
      <c r="J150" s="232"/>
      <c r="K150" s="234">
        <v>1</v>
      </c>
      <c r="N150" s="234" t="b">
        <f>OR(Таблица191014[[#This Row],[Щебень]]&gt;0,Таблица191014[[#This Row],[Асфальт]]&gt;0,Таблица191014[[#This Row],[Бетон]]&gt;0)</f>
        <v>0</v>
      </c>
      <c r="Q150" s="234">
        <v>146</v>
      </c>
      <c r="U150" s="285"/>
      <c r="V150" s="285">
        <f>Таблица191014[[#This Row],[Грунт]]+Таблица191014[[#This Row],[Щебень]]+Таблица191014[[#This Row],[Асфальт]]+Таблица191014[[#This Row],[Бетон]]</f>
        <v>1</v>
      </c>
      <c r="W150" s="285"/>
      <c r="X150" s="285"/>
      <c r="Y150" s="285"/>
      <c r="Z150" s="285"/>
      <c r="AG150" s="234">
        <v>42</v>
      </c>
    </row>
    <row r="151" spans="1:33" s="234" customFormat="1" x14ac:dyDescent="0.35">
      <c r="A151" s="146">
        <v>148</v>
      </c>
      <c r="B151" s="146" t="s">
        <v>286</v>
      </c>
      <c r="C151" s="146" t="s">
        <v>287</v>
      </c>
      <c r="D151" s="146" t="s">
        <v>571</v>
      </c>
      <c r="E151" s="257">
        <f>Таблица191014[[#This Row],[Грунт]]+Таблица191014[[#This Row],[Щебень]]+Таблица191014[[#This Row],[Асфальт]]+Таблица191014[[#This Row],[Бетон]]</f>
        <v>0.8</v>
      </c>
      <c r="F151" s="311">
        <v>0.8</v>
      </c>
      <c r="G151" s="140"/>
      <c r="H151" s="249"/>
      <c r="I151" s="139"/>
      <c r="J151" s="232"/>
      <c r="K151" s="234">
        <v>1</v>
      </c>
      <c r="N151" s="234" t="b">
        <f>OR(Таблица191014[[#This Row],[Щебень]]&gt;0,Таблица191014[[#This Row],[Асфальт]]&gt;0,Таблица191014[[#This Row],[Бетон]]&gt;0)</f>
        <v>0</v>
      </c>
      <c r="Q151" s="234">
        <v>147</v>
      </c>
      <c r="U151" s="285"/>
      <c r="V151" s="285">
        <f>Таблица191014[[#This Row],[Грунт]]+Таблица191014[[#This Row],[Щебень]]+Таблица191014[[#This Row],[Асфальт]]+Таблица191014[[#This Row],[Бетон]]</f>
        <v>0.8</v>
      </c>
      <c r="W151" s="285"/>
      <c r="X151" s="285"/>
      <c r="Y151" s="285"/>
      <c r="Z151" s="285"/>
      <c r="AG151" s="234">
        <v>43</v>
      </c>
    </row>
    <row r="152" spans="1:33" s="234" customFormat="1" x14ac:dyDescent="0.35">
      <c r="A152" s="146">
        <v>149</v>
      </c>
      <c r="B152" s="146" t="s">
        <v>288</v>
      </c>
      <c r="C152" s="146" t="s">
        <v>289</v>
      </c>
      <c r="D152" s="146" t="s">
        <v>571</v>
      </c>
      <c r="E152" s="257">
        <f>Таблица191014[[#This Row],[Грунт]]+Таблица191014[[#This Row],[Щебень]]+Таблица191014[[#This Row],[Асфальт]]+Таблица191014[[#This Row],[Бетон]]</f>
        <v>0.5</v>
      </c>
      <c r="F152" s="311">
        <v>0.5</v>
      </c>
      <c r="G152" s="140"/>
      <c r="H152" s="249"/>
      <c r="I152" s="139"/>
      <c r="J152" s="232"/>
      <c r="K152" s="234">
        <v>1</v>
      </c>
      <c r="N152" s="234" t="b">
        <f>OR(Таблица191014[[#This Row],[Щебень]]&gt;0,Таблица191014[[#This Row],[Асфальт]]&gt;0,Таблица191014[[#This Row],[Бетон]]&gt;0)</f>
        <v>0</v>
      </c>
      <c r="Q152" s="234">
        <v>148</v>
      </c>
      <c r="U152" s="285"/>
      <c r="V152" s="285">
        <f>Таблица191014[[#This Row],[Грунт]]+Таблица191014[[#This Row],[Щебень]]+Таблица191014[[#This Row],[Асфальт]]+Таблица191014[[#This Row],[Бетон]]</f>
        <v>0.5</v>
      </c>
      <c r="W152" s="285"/>
      <c r="X152" s="285"/>
      <c r="Y152" s="285"/>
      <c r="Z152" s="285"/>
      <c r="AG152" s="234">
        <v>44</v>
      </c>
    </row>
    <row r="153" spans="1:33" s="234" customFormat="1" x14ac:dyDescent="0.35">
      <c r="A153" s="146">
        <v>150</v>
      </c>
      <c r="B153" s="146" t="s">
        <v>290</v>
      </c>
      <c r="C153" s="146" t="s">
        <v>291</v>
      </c>
      <c r="D153" s="146" t="s">
        <v>571</v>
      </c>
      <c r="E153" s="257">
        <f>Таблица191014[[#This Row],[Грунт]]+Таблица191014[[#This Row],[Щебень]]+Таблица191014[[#This Row],[Асфальт]]+Таблица191014[[#This Row],[Бетон]]</f>
        <v>0.7</v>
      </c>
      <c r="F153" s="311">
        <v>0.7</v>
      </c>
      <c r="G153" s="140"/>
      <c r="H153" s="249"/>
      <c r="I153" s="139"/>
      <c r="J153" s="232"/>
      <c r="K153" s="234">
        <v>1</v>
      </c>
      <c r="N153" s="234" t="b">
        <f>OR(Таблица191014[[#This Row],[Щебень]]&gt;0,Таблица191014[[#This Row],[Асфальт]]&gt;0,Таблица191014[[#This Row],[Бетон]]&gt;0)</f>
        <v>0</v>
      </c>
      <c r="Q153" s="234">
        <v>149</v>
      </c>
      <c r="U153" s="285"/>
      <c r="V153" s="285">
        <f>Таблица191014[[#This Row],[Грунт]]+Таблица191014[[#This Row],[Щебень]]+Таблица191014[[#This Row],[Асфальт]]+Таблица191014[[#This Row],[Бетон]]</f>
        <v>0.7</v>
      </c>
      <c r="W153" s="285"/>
      <c r="X153" s="285"/>
      <c r="Y153" s="285"/>
      <c r="Z153" s="285"/>
      <c r="AG153" s="234">
        <v>45</v>
      </c>
    </row>
    <row r="154" spans="1:33" s="234" customFormat="1" x14ac:dyDescent="0.35">
      <c r="A154" s="146">
        <v>151</v>
      </c>
      <c r="B154" s="146" t="s">
        <v>292</v>
      </c>
      <c r="C154" s="146" t="s">
        <v>293</v>
      </c>
      <c r="D154" s="146" t="s">
        <v>571</v>
      </c>
      <c r="E154" s="257">
        <f>Таблица191014[[#This Row],[Грунт]]+Таблица191014[[#This Row],[Щебень]]+Таблица191014[[#This Row],[Асфальт]]+Таблица191014[[#This Row],[Бетон]]</f>
        <v>1</v>
      </c>
      <c r="F154" s="311">
        <v>1</v>
      </c>
      <c r="G154" s="140"/>
      <c r="H154" s="249"/>
      <c r="I154" s="139"/>
      <c r="J154" s="232"/>
      <c r="K154" s="234">
        <v>1</v>
      </c>
      <c r="N154" s="234" t="b">
        <f>OR(Таблица191014[[#This Row],[Щебень]]&gt;0,Таблица191014[[#This Row],[Асфальт]]&gt;0,Таблица191014[[#This Row],[Бетон]]&gt;0)</f>
        <v>0</v>
      </c>
      <c r="Q154" s="234">
        <v>150</v>
      </c>
      <c r="U154" s="285"/>
      <c r="V154" s="285">
        <f>Таблица191014[[#This Row],[Грунт]]+Таблица191014[[#This Row],[Щебень]]+Таблица191014[[#This Row],[Асфальт]]+Таблица191014[[#This Row],[Бетон]]</f>
        <v>1</v>
      </c>
      <c r="W154" s="285"/>
      <c r="X154" s="285"/>
      <c r="Y154" s="285"/>
      <c r="Z154" s="285"/>
      <c r="AG154" s="234">
        <v>46</v>
      </c>
    </row>
    <row r="155" spans="1:33" s="234" customFormat="1" x14ac:dyDescent="0.35">
      <c r="A155" s="146">
        <v>152</v>
      </c>
      <c r="B155" s="146" t="s">
        <v>294</v>
      </c>
      <c r="C155" s="146" t="s">
        <v>295</v>
      </c>
      <c r="D155" s="146" t="s">
        <v>571</v>
      </c>
      <c r="E155" s="257">
        <f>Таблица191014[[#This Row],[Грунт]]+Таблица191014[[#This Row],[Щебень]]+Таблица191014[[#This Row],[Асфальт]]+Таблица191014[[#This Row],[Бетон]]</f>
        <v>1.5</v>
      </c>
      <c r="F155" s="311">
        <v>1.5</v>
      </c>
      <c r="G155" s="140"/>
      <c r="H155" s="249"/>
      <c r="I155" s="139"/>
      <c r="J155" s="232"/>
      <c r="K155" s="234">
        <v>1</v>
      </c>
      <c r="N155" s="234" t="b">
        <f>OR(Таблица191014[[#This Row],[Щебень]]&gt;0,Таблица191014[[#This Row],[Асфальт]]&gt;0,Таблица191014[[#This Row],[Бетон]]&gt;0)</f>
        <v>0</v>
      </c>
      <c r="Q155" s="234">
        <v>151</v>
      </c>
      <c r="U155" s="285"/>
      <c r="V155" s="285">
        <f>Таблица191014[[#This Row],[Грунт]]+Таблица191014[[#This Row],[Щебень]]+Таблица191014[[#This Row],[Асфальт]]+Таблица191014[[#This Row],[Бетон]]</f>
        <v>1.5</v>
      </c>
      <c r="W155" s="285"/>
      <c r="X155" s="285"/>
      <c r="Y155" s="285"/>
      <c r="Z155" s="285"/>
      <c r="AG155" s="234">
        <v>47</v>
      </c>
    </row>
    <row r="156" spans="1:33" s="234" customFormat="1" x14ac:dyDescent="0.35">
      <c r="A156" s="146">
        <v>153</v>
      </c>
      <c r="B156" s="146" t="s">
        <v>296</v>
      </c>
      <c r="C156" s="146" t="s">
        <v>297</v>
      </c>
      <c r="D156" s="146" t="s">
        <v>571</v>
      </c>
      <c r="E156" s="257">
        <f>Таблица191014[[#This Row],[Грунт]]+Таблица191014[[#This Row],[Щебень]]+Таблица191014[[#This Row],[Асфальт]]+Таблица191014[[#This Row],[Бетон]]</f>
        <v>0.8</v>
      </c>
      <c r="F156" s="311">
        <v>0.8</v>
      </c>
      <c r="G156" s="140"/>
      <c r="H156" s="249"/>
      <c r="I156" s="139"/>
      <c r="J156" s="232"/>
      <c r="K156" s="234">
        <v>1</v>
      </c>
      <c r="N156" s="234" t="b">
        <f>OR(Таблица191014[[#This Row],[Щебень]]&gt;0,Таблица191014[[#This Row],[Асфальт]]&gt;0,Таблица191014[[#This Row],[Бетон]]&gt;0)</f>
        <v>0</v>
      </c>
      <c r="Q156" s="234">
        <v>152</v>
      </c>
      <c r="U156" s="285"/>
      <c r="V156" s="285">
        <f>Таблица191014[[#This Row],[Грунт]]+Таблица191014[[#This Row],[Щебень]]+Таблица191014[[#This Row],[Асфальт]]+Таблица191014[[#This Row],[Бетон]]</f>
        <v>0.8</v>
      </c>
      <c r="W156" s="285"/>
      <c r="X156" s="285"/>
      <c r="Y156" s="285"/>
      <c r="Z156" s="285"/>
      <c r="AG156" s="234">
        <v>48</v>
      </c>
    </row>
    <row r="157" spans="1:33" s="234" customFormat="1" x14ac:dyDescent="0.35">
      <c r="A157" s="146">
        <v>154</v>
      </c>
      <c r="B157" s="146" t="s">
        <v>298</v>
      </c>
      <c r="C157" s="146" t="s">
        <v>299</v>
      </c>
      <c r="D157" s="146" t="s">
        <v>571</v>
      </c>
      <c r="E157" s="257">
        <f>Таблица191014[[#This Row],[Грунт]]+Таблица191014[[#This Row],[Щебень]]+Таблица191014[[#This Row],[Асфальт]]+Таблица191014[[#This Row],[Бетон]]</f>
        <v>0.5</v>
      </c>
      <c r="F157" s="311">
        <v>0.5</v>
      </c>
      <c r="G157" s="140"/>
      <c r="H157" s="249"/>
      <c r="I157" s="139"/>
      <c r="J157" s="232"/>
      <c r="K157" s="234">
        <v>1</v>
      </c>
      <c r="N157" s="234" t="b">
        <f>OR(Таблица191014[[#This Row],[Щебень]]&gt;0,Таблица191014[[#This Row],[Асфальт]]&gt;0,Таблица191014[[#This Row],[Бетон]]&gt;0)</f>
        <v>0</v>
      </c>
      <c r="Q157" s="234">
        <v>153</v>
      </c>
      <c r="U157" s="285"/>
      <c r="V157" s="285">
        <f>Таблица191014[[#This Row],[Грунт]]+Таблица191014[[#This Row],[Щебень]]+Таблица191014[[#This Row],[Асфальт]]+Таблица191014[[#This Row],[Бетон]]</f>
        <v>0.5</v>
      </c>
      <c r="W157" s="285"/>
      <c r="X157" s="285"/>
      <c r="Y157" s="285"/>
      <c r="Z157" s="285"/>
      <c r="AG157" s="234">
        <v>49</v>
      </c>
    </row>
    <row r="158" spans="1:33" s="234" customFormat="1" x14ac:dyDescent="0.35">
      <c r="A158" s="146">
        <v>155</v>
      </c>
      <c r="B158" s="146" t="s">
        <v>300</v>
      </c>
      <c r="C158" s="146" t="s">
        <v>301</v>
      </c>
      <c r="D158" s="146" t="s">
        <v>571</v>
      </c>
      <c r="E158" s="257">
        <f>Таблица191014[[#This Row],[Грунт]]+Таблица191014[[#This Row],[Щебень]]+Таблица191014[[#This Row],[Асфальт]]+Таблица191014[[#This Row],[Бетон]]</f>
        <v>1.5</v>
      </c>
      <c r="F158" s="311">
        <v>1.5</v>
      </c>
      <c r="G158" s="140"/>
      <c r="H158" s="249"/>
      <c r="I158" s="139"/>
      <c r="J158" s="232"/>
      <c r="K158" s="234">
        <v>1</v>
      </c>
      <c r="N158" s="234" t="b">
        <f>OR(Таблица191014[[#This Row],[Щебень]]&gt;0,Таблица191014[[#This Row],[Асфальт]]&gt;0,Таблица191014[[#This Row],[Бетон]]&gt;0)</f>
        <v>0</v>
      </c>
      <c r="Q158" s="234">
        <v>154</v>
      </c>
      <c r="U158" s="285"/>
      <c r="V158" s="285">
        <f>Таблица191014[[#This Row],[Грунт]]+Таблица191014[[#This Row],[Щебень]]+Таблица191014[[#This Row],[Асфальт]]+Таблица191014[[#This Row],[Бетон]]</f>
        <v>1.5</v>
      </c>
      <c r="W158" s="285"/>
      <c r="X158" s="285"/>
      <c r="Y158" s="285"/>
      <c r="Z158" s="285"/>
      <c r="AG158" s="234">
        <v>50</v>
      </c>
    </row>
    <row r="159" spans="1:33" s="234" customFormat="1" x14ac:dyDescent="0.35">
      <c r="A159" s="146">
        <v>156</v>
      </c>
      <c r="B159" s="146" t="s">
        <v>302</v>
      </c>
      <c r="C159" s="146" t="s">
        <v>303</v>
      </c>
      <c r="D159" s="146" t="s">
        <v>571</v>
      </c>
      <c r="E159" s="257">
        <f>Таблица191014[[#This Row],[Грунт]]+Таблица191014[[#This Row],[Щебень]]+Таблица191014[[#This Row],[Асфальт]]+Таблица191014[[#This Row],[Бетон]]</f>
        <v>0.7</v>
      </c>
      <c r="F159" s="311">
        <v>0.7</v>
      </c>
      <c r="G159" s="140"/>
      <c r="H159" s="249"/>
      <c r="I159" s="139"/>
      <c r="J159" s="232"/>
      <c r="K159" s="234">
        <v>1</v>
      </c>
      <c r="N159" s="234" t="b">
        <f>OR(Таблица191014[[#This Row],[Щебень]]&gt;0,Таблица191014[[#This Row],[Асфальт]]&gt;0,Таблица191014[[#This Row],[Бетон]]&gt;0)</f>
        <v>0</v>
      </c>
      <c r="Q159" s="234">
        <v>155</v>
      </c>
      <c r="U159" s="285"/>
      <c r="V159" s="285">
        <f>Таблица191014[[#This Row],[Грунт]]+Таблица191014[[#This Row],[Щебень]]+Таблица191014[[#This Row],[Асфальт]]+Таблица191014[[#This Row],[Бетон]]</f>
        <v>0.7</v>
      </c>
      <c r="W159" s="285"/>
      <c r="X159" s="285"/>
      <c r="Y159" s="285"/>
      <c r="Z159" s="285"/>
      <c r="AG159" s="234">
        <v>51</v>
      </c>
    </row>
    <row r="160" spans="1:33" s="234" customFormat="1" x14ac:dyDescent="0.35">
      <c r="A160" s="146">
        <v>157</v>
      </c>
      <c r="B160" s="146" t="s">
        <v>304</v>
      </c>
      <c r="C160" s="146" t="s">
        <v>305</v>
      </c>
      <c r="D160" s="146" t="s">
        <v>571</v>
      </c>
      <c r="E160" s="257">
        <f>Таблица191014[[#This Row],[Грунт]]+Таблица191014[[#This Row],[Щебень]]+Таблица191014[[#This Row],[Асфальт]]+Таблица191014[[#This Row],[Бетон]]</f>
        <v>0.5</v>
      </c>
      <c r="F160" s="311">
        <v>0.5</v>
      </c>
      <c r="G160" s="140"/>
      <c r="H160" s="249"/>
      <c r="I160" s="139"/>
      <c r="J160" s="232"/>
      <c r="K160" s="234">
        <v>1</v>
      </c>
      <c r="N160" s="234" t="b">
        <f>OR(Таблица191014[[#This Row],[Щебень]]&gt;0,Таблица191014[[#This Row],[Асфальт]]&gt;0,Таблица191014[[#This Row],[Бетон]]&gt;0)</f>
        <v>0</v>
      </c>
      <c r="Q160" s="234">
        <v>156</v>
      </c>
      <c r="U160" s="285"/>
      <c r="V160" s="285">
        <f>Таблица191014[[#This Row],[Грунт]]+Таблица191014[[#This Row],[Щебень]]+Таблица191014[[#This Row],[Асфальт]]+Таблица191014[[#This Row],[Бетон]]</f>
        <v>0.5</v>
      </c>
      <c r="W160" s="285"/>
      <c r="X160" s="285"/>
      <c r="Y160" s="285"/>
      <c r="Z160" s="285"/>
      <c r="AG160" s="234">
        <v>52</v>
      </c>
    </row>
    <row r="161" spans="1:33" s="234" customFormat="1" x14ac:dyDescent="0.35">
      <c r="A161" s="146">
        <v>158</v>
      </c>
      <c r="B161" s="146" t="s">
        <v>306</v>
      </c>
      <c r="C161" s="146" t="s">
        <v>307</v>
      </c>
      <c r="D161" s="146" t="s">
        <v>571</v>
      </c>
      <c r="E161" s="257">
        <f>Таблица191014[[#This Row],[Грунт]]+Таблица191014[[#This Row],[Щебень]]+Таблица191014[[#This Row],[Асфальт]]+Таблица191014[[#This Row],[Бетон]]</f>
        <v>0.4</v>
      </c>
      <c r="F161" s="311">
        <v>0.4</v>
      </c>
      <c r="G161" s="140"/>
      <c r="H161" s="249"/>
      <c r="I161" s="139"/>
      <c r="J161" s="232"/>
      <c r="K161" s="234">
        <v>1</v>
      </c>
      <c r="N161" s="234" t="b">
        <f>OR(Таблица191014[[#This Row],[Щебень]]&gt;0,Таблица191014[[#This Row],[Асфальт]]&gt;0,Таблица191014[[#This Row],[Бетон]]&gt;0)</f>
        <v>0</v>
      </c>
      <c r="Q161" s="234">
        <v>157</v>
      </c>
      <c r="U161" s="285"/>
      <c r="V161" s="285">
        <f>Таблица191014[[#This Row],[Грунт]]+Таблица191014[[#This Row],[Щебень]]+Таблица191014[[#This Row],[Асфальт]]+Таблица191014[[#This Row],[Бетон]]</f>
        <v>0.4</v>
      </c>
      <c r="W161" s="285"/>
      <c r="X161" s="285"/>
      <c r="Y161" s="285"/>
      <c r="Z161" s="285"/>
      <c r="AG161" s="234">
        <v>53</v>
      </c>
    </row>
    <row r="162" spans="1:33" s="234" customFormat="1" ht="46.5" x14ac:dyDescent="0.35">
      <c r="A162" s="146">
        <v>159</v>
      </c>
      <c r="B162" s="146" t="s">
        <v>308</v>
      </c>
      <c r="C162" s="146" t="s">
        <v>309</v>
      </c>
      <c r="D162" s="146" t="s">
        <v>542</v>
      </c>
      <c r="E162" s="254">
        <f>Таблица191014[[#This Row],[Грунт]]+Таблица191014[[#This Row],[Щебень]]+Таблица191014[[#This Row],[Асфальт]]+Таблица191014[[#This Row],[Бетон]]</f>
        <v>0.65</v>
      </c>
      <c r="F162" s="311"/>
      <c r="G162" s="140"/>
      <c r="H162" s="249">
        <v>0.65</v>
      </c>
      <c r="I162" s="139"/>
      <c r="J162" s="232"/>
      <c r="K162" s="234">
        <v>1</v>
      </c>
      <c r="N162" s="234" t="b">
        <f>OR(Таблица191014[[#This Row],[Щебень]]&gt;0,Таблица191014[[#This Row],[Асфальт]]&gt;0,Таблица191014[[#This Row],[Бетон]]&gt;0)</f>
        <v>1</v>
      </c>
      <c r="O162" s="234">
        <v>1</v>
      </c>
      <c r="Q162" s="234">
        <v>158</v>
      </c>
      <c r="U162" s="285"/>
      <c r="V162" s="285">
        <f>Таблица191014[[#This Row],[Грунт]]+Таблица191014[[#This Row],[Щебень]]+Таблица191014[[#This Row],[Асфальт]]+Таблица191014[[#This Row],[Бетон]]</f>
        <v>0.65</v>
      </c>
      <c r="W162" s="285"/>
      <c r="X162" s="285"/>
      <c r="Y162" s="285"/>
      <c r="Z162" s="285"/>
      <c r="AG162" s="234">
        <v>54</v>
      </c>
    </row>
    <row r="163" spans="1:33" s="234" customFormat="1" ht="46.5" x14ac:dyDescent="0.35">
      <c r="A163" s="146">
        <v>160</v>
      </c>
      <c r="B163" s="146" t="s">
        <v>310</v>
      </c>
      <c r="C163" s="146" t="s">
        <v>311</v>
      </c>
      <c r="D163" s="146" t="s">
        <v>542</v>
      </c>
      <c r="E163" s="254">
        <f>Таблица191014[[#This Row],[Грунт]]+Таблица191014[[#This Row],[Щебень]]+Таблица191014[[#This Row],[Асфальт]]+Таблица191014[[#This Row],[Бетон]]</f>
        <v>0.8</v>
      </c>
      <c r="F163" s="311"/>
      <c r="G163" s="140"/>
      <c r="H163" s="249">
        <v>0.8</v>
      </c>
      <c r="I163" s="139"/>
      <c r="J163" s="232"/>
      <c r="K163" s="234">
        <v>1</v>
      </c>
      <c r="N163" s="234" t="b">
        <f>OR(Таблица191014[[#This Row],[Щебень]]&gt;0,Таблица191014[[#This Row],[Асфальт]]&gt;0,Таблица191014[[#This Row],[Бетон]]&gt;0)</f>
        <v>1</v>
      </c>
      <c r="O163" s="234">
        <v>1</v>
      </c>
      <c r="Q163" s="234">
        <v>159</v>
      </c>
      <c r="U163" s="285"/>
      <c r="V163" s="285">
        <f>Таблица191014[[#This Row],[Грунт]]+Таблица191014[[#This Row],[Щебень]]+Таблица191014[[#This Row],[Асфальт]]+Таблица191014[[#This Row],[Бетон]]</f>
        <v>0.8</v>
      </c>
      <c r="W163" s="285"/>
      <c r="X163" s="285"/>
      <c r="Y163" s="285"/>
      <c r="Z163" s="285"/>
      <c r="AG163" s="234">
        <v>55</v>
      </c>
    </row>
    <row r="164" spans="1:33" s="234" customFormat="1" ht="46.5" x14ac:dyDescent="0.35">
      <c r="A164" s="146">
        <v>161</v>
      </c>
      <c r="B164" s="146" t="s">
        <v>312</v>
      </c>
      <c r="C164" s="146" t="s">
        <v>313</v>
      </c>
      <c r="D164" s="146" t="s">
        <v>542</v>
      </c>
      <c r="E164" s="254">
        <f>Таблица191014[[#This Row],[Грунт]]+Таблица191014[[#This Row],[Щебень]]+Таблица191014[[#This Row],[Асфальт]]+Таблица191014[[#This Row],[Бетон]]</f>
        <v>1.8</v>
      </c>
      <c r="F164" s="311"/>
      <c r="G164" s="140"/>
      <c r="H164" s="249">
        <v>1.8</v>
      </c>
      <c r="I164" s="139"/>
      <c r="J164" s="232"/>
      <c r="K164" s="234">
        <v>1</v>
      </c>
      <c r="N164" s="234" t="b">
        <f>OR(Таблица191014[[#This Row],[Щебень]]&gt;0,Таблица191014[[#This Row],[Асфальт]]&gt;0,Таблица191014[[#This Row],[Бетон]]&gt;0)</f>
        <v>1</v>
      </c>
      <c r="O164" s="234">
        <v>1</v>
      </c>
      <c r="Q164" s="234">
        <v>160</v>
      </c>
      <c r="U164" s="285"/>
      <c r="V164" s="285">
        <f>Таблица191014[[#This Row],[Грунт]]+Таблица191014[[#This Row],[Щебень]]+Таблица191014[[#This Row],[Асфальт]]+Таблица191014[[#This Row],[Бетон]]</f>
        <v>1.8</v>
      </c>
      <c r="W164" s="285"/>
      <c r="X164" s="285"/>
      <c r="Y164" s="285"/>
      <c r="Z164" s="285"/>
      <c r="AG164" s="234">
        <v>56</v>
      </c>
    </row>
    <row r="165" spans="1:33" s="234" customFormat="1" ht="46.5" x14ac:dyDescent="0.35">
      <c r="A165" s="146">
        <v>162</v>
      </c>
      <c r="B165" s="146" t="s">
        <v>314</v>
      </c>
      <c r="C165" s="146" t="s">
        <v>315</v>
      </c>
      <c r="D165" s="146" t="s">
        <v>542</v>
      </c>
      <c r="E165" s="254">
        <f>Таблица191014[[#This Row],[Грунт]]+Таблица191014[[#This Row],[Щебень]]+Таблица191014[[#This Row],[Асфальт]]+Таблица191014[[#This Row],[Бетон]]</f>
        <v>0.55000000000000004</v>
      </c>
      <c r="F165" s="311"/>
      <c r="G165" s="140"/>
      <c r="H165" s="249">
        <v>0.55000000000000004</v>
      </c>
      <c r="I165" s="139"/>
      <c r="J165" s="232"/>
      <c r="K165" s="234">
        <v>1</v>
      </c>
      <c r="N165" s="234" t="b">
        <f>OR(Таблица191014[[#This Row],[Щебень]]&gt;0,Таблица191014[[#This Row],[Асфальт]]&gt;0,Таблица191014[[#This Row],[Бетон]]&gt;0)</f>
        <v>1</v>
      </c>
      <c r="O165" s="234">
        <v>1</v>
      </c>
      <c r="Q165" s="234">
        <v>161</v>
      </c>
      <c r="U165" s="285"/>
      <c r="V165" s="285">
        <f>Таблица191014[[#This Row],[Грунт]]+Таблица191014[[#This Row],[Щебень]]+Таблица191014[[#This Row],[Асфальт]]+Таблица191014[[#This Row],[Бетон]]</f>
        <v>0.55000000000000004</v>
      </c>
      <c r="W165" s="285"/>
      <c r="X165" s="285"/>
      <c r="Y165" s="285"/>
      <c r="Z165" s="285"/>
      <c r="AG165" s="234">
        <v>57</v>
      </c>
    </row>
    <row r="166" spans="1:33" s="234" customFormat="1" x14ac:dyDescent="0.35">
      <c r="A166" s="146">
        <v>163</v>
      </c>
      <c r="B166" s="146" t="s">
        <v>316</v>
      </c>
      <c r="C166" s="146" t="s">
        <v>317</v>
      </c>
      <c r="D166" s="146" t="s">
        <v>542</v>
      </c>
      <c r="E166" s="254">
        <f>Таблица191014[[#This Row],[Грунт]]+Таблица191014[[#This Row],[Щебень]]+Таблица191014[[#This Row],[Асфальт]]+Таблица191014[[#This Row],[Бетон]]</f>
        <v>1.3</v>
      </c>
      <c r="F166" s="311">
        <v>1.3</v>
      </c>
      <c r="G166" s="140"/>
      <c r="H166" s="249"/>
      <c r="I166" s="139"/>
      <c r="J166" s="232"/>
      <c r="K166" s="234">
        <v>1</v>
      </c>
      <c r="N166" s="234" t="b">
        <f>OR(Таблица191014[[#This Row],[Щебень]]&gt;0,Таблица191014[[#This Row],[Асфальт]]&gt;0,Таблица191014[[#This Row],[Бетон]]&gt;0)</f>
        <v>0</v>
      </c>
      <c r="Q166" s="234">
        <v>162</v>
      </c>
      <c r="U166" s="285"/>
      <c r="V166" s="285">
        <f>Таблица191014[[#This Row],[Грунт]]+Таблица191014[[#This Row],[Щебень]]+Таблица191014[[#This Row],[Асфальт]]+Таблица191014[[#This Row],[Бетон]]</f>
        <v>1.3</v>
      </c>
      <c r="W166" s="285"/>
      <c r="X166" s="285"/>
      <c r="Y166" s="285"/>
      <c r="Z166" s="285"/>
      <c r="AG166" s="234">
        <v>58</v>
      </c>
    </row>
    <row r="167" spans="1:33" s="234" customFormat="1" x14ac:dyDescent="0.35">
      <c r="A167" s="146">
        <v>164</v>
      </c>
      <c r="B167" s="146" t="s">
        <v>318</v>
      </c>
      <c r="C167" s="146" t="s">
        <v>319</v>
      </c>
      <c r="D167" s="146" t="s">
        <v>542</v>
      </c>
      <c r="E167" s="254">
        <f>Таблица191014[[#This Row],[Грунт]]+Таблица191014[[#This Row],[Щебень]]+Таблица191014[[#This Row],[Асфальт]]+Таблица191014[[#This Row],[Бетон]]</f>
        <v>0.5</v>
      </c>
      <c r="F167" s="311">
        <v>0.5</v>
      </c>
      <c r="G167" s="140"/>
      <c r="H167" s="249"/>
      <c r="I167" s="139"/>
      <c r="J167" s="232"/>
      <c r="K167" s="234">
        <v>1</v>
      </c>
      <c r="N167" s="234" t="b">
        <f>OR(Таблица191014[[#This Row],[Щебень]]&gt;0,Таблица191014[[#This Row],[Асфальт]]&gt;0,Таблица191014[[#This Row],[Бетон]]&gt;0)</f>
        <v>0</v>
      </c>
      <c r="Q167" s="234">
        <v>163</v>
      </c>
      <c r="U167" s="285"/>
      <c r="V167" s="285">
        <f>Таблица191014[[#This Row],[Грунт]]+Таблица191014[[#This Row],[Щебень]]+Таблица191014[[#This Row],[Асфальт]]+Таблица191014[[#This Row],[Бетон]]</f>
        <v>0.5</v>
      </c>
      <c r="W167" s="285"/>
      <c r="X167" s="285"/>
      <c r="Y167" s="285"/>
      <c r="Z167" s="285"/>
      <c r="AG167" s="234">
        <v>59</v>
      </c>
    </row>
    <row r="168" spans="1:33" s="234" customFormat="1" x14ac:dyDescent="0.35">
      <c r="A168" s="146">
        <v>165</v>
      </c>
      <c r="B168" s="146" t="s">
        <v>320</v>
      </c>
      <c r="C168" s="146" t="s">
        <v>321</v>
      </c>
      <c r="D168" s="146" t="s">
        <v>542</v>
      </c>
      <c r="E168" s="254">
        <f>Таблица191014[[#This Row],[Грунт]]+Таблица191014[[#This Row],[Щебень]]+Таблица191014[[#This Row],[Асфальт]]+Таблица191014[[#This Row],[Бетон]]</f>
        <v>5.2</v>
      </c>
      <c r="F168" s="311">
        <v>3.7</v>
      </c>
      <c r="G168" s="140"/>
      <c r="H168" s="249">
        <v>1.5</v>
      </c>
      <c r="I168" s="139"/>
      <c r="J168" s="232"/>
      <c r="K168" s="234">
        <v>1</v>
      </c>
      <c r="N168" s="234" t="b">
        <f>OR(Таблица191014[[#This Row],[Щебень]]&gt;0,Таблица191014[[#This Row],[Асфальт]]&gt;0,Таблица191014[[#This Row],[Бетон]]&gt;0)</f>
        <v>1</v>
      </c>
      <c r="O168" s="234">
        <v>1</v>
      </c>
      <c r="Q168" s="234">
        <v>164</v>
      </c>
      <c r="U168" s="285"/>
      <c r="V168" s="285">
        <f>Таблица191014[[#This Row],[Грунт]]+Таблица191014[[#This Row],[Щебень]]+Таблица191014[[#This Row],[Асфальт]]+Таблица191014[[#This Row],[Бетон]]</f>
        <v>5.2</v>
      </c>
      <c r="W168" s="285"/>
      <c r="X168" s="285"/>
      <c r="Y168" s="285"/>
      <c r="Z168" s="285"/>
      <c r="AG168" s="234">
        <v>60</v>
      </c>
    </row>
    <row r="169" spans="1:33" s="234" customFormat="1" x14ac:dyDescent="0.35">
      <c r="A169" s="146">
        <v>166</v>
      </c>
      <c r="B169" s="146" t="s">
        <v>322</v>
      </c>
      <c r="C169" s="146" t="s">
        <v>323</v>
      </c>
      <c r="D169" s="146" t="s">
        <v>542</v>
      </c>
      <c r="E169" s="254">
        <f>Таблица191014[[#This Row],[Грунт]]+Таблица191014[[#This Row],[Щебень]]+Таблица191014[[#This Row],[Асфальт]]+Таблица191014[[#This Row],[Бетон]]</f>
        <v>2.4</v>
      </c>
      <c r="F169" s="311">
        <v>0.4</v>
      </c>
      <c r="G169" s="140">
        <v>2</v>
      </c>
      <c r="H169" s="249"/>
      <c r="I169" s="139"/>
      <c r="J169" s="232"/>
      <c r="K169" s="234">
        <v>1</v>
      </c>
      <c r="N169" s="234" t="b">
        <f>OR(Таблица191014[[#This Row],[Щебень]]&gt;0,Таблица191014[[#This Row],[Асфальт]]&gt;0,Таблица191014[[#This Row],[Бетон]]&gt;0)</f>
        <v>1</v>
      </c>
      <c r="O169" s="234">
        <v>1</v>
      </c>
      <c r="Q169" s="234">
        <v>165</v>
      </c>
      <c r="U169" s="285"/>
      <c r="V169" s="285">
        <f>Таблица191014[[#This Row],[Грунт]]+Таблица191014[[#This Row],[Щебень]]+Таблица191014[[#This Row],[Асфальт]]+Таблица191014[[#This Row],[Бетон]]</f>
        <v>2.4</v>
      </c>
      <c r="W169" s="285"/>
      <c r="X169" s="285"/>
      <c r="Y169" s="285"/>
      <c r="Z169" s="285"/>
      <c r="AG169" s="234">
        <v>61</v>
      </c>
    </row>
    <row r="170" spans="1:33" s="234" customFormat="1" x14ac:dyDescent="0.35">
      <c r="A170" s="146">
        <v>167</v>
      </c>
      <c r="B170" s="146" t="s">
        <v>324</v>
      </c>
      <c r="C170" s="146" t="s">
        <v>325</v>
      </c>
      <c r="D170" s="146" t="s">
        <v>542</v>
      </c>
      <c r="E170" s="254">
        <f>Таблица191014[[#This Row],[Грунт]]+Таблица191014[[#This Row],[Щебень]]+Таблица191014[[#This Row],[Асфальт]]+Таблица191014[[#This Row],[Бетон]]</f>
        <v>0.95</v>
      </c>
      <c r="F170" s="311">
        <v>0.95</v>
      </c>
      <c r="G170" s="140"/>
      <c r="H170" s="249"/>
      <c r="I170" s="139"/>
      <c r="J170" s="232"/>
      <c r="K170" s="234">
        <v>1</v>
      </c>
      <c r="N170" s="234" t="b">
        <f>OR(Таблица191014[[#This Row],[Щебень]]&gt;0,Таблица191014[[#This Row],[Асфальт]]&gt;0,Таблица191014[[#This Row],[Бетон]]&gt;0)</f>
        <v>0</v>
      </c>
      <c r="Q170" s="234">
        <v>166</v>
      </c>
      <c r="U170" s="285"/>
      <c r="V170" s="285">
        <f>Таблица191014[[#This Row],[Грунт]]+Таблица191014[[#This Row],[Щебень]]+Таблица191014[[#This Row],[Асфальт]]+Таблица191014[[#This Row],[Бетон]]</f>
        <v>0.95</v>
      </c>
      <c r="W170" s="285"/>
      <c r="X170" s="285"/>
      <c r="Y170" s="285"/>
      <c r="Z170" s="285"/>
      <c r="AG170" s="234">
        <v>62</v>
      </c>
    </row>
    <row r="171" spans="1:33" s="234" customFormat="1" x14ac:dyDescent="0.35">
      <c r="A171" s="146">
        <v>168</v>
      </c>
      <c r="B171" s="146" t="s">
        <v>326</v>
      </c>
      <c r="C171" s="146" t="s">
        <v>327</v>
      </c>
      <c r="D171" s="146" t="s">
        <v>542</v>
      </c>
      <c r="E171" s="254">
        <f>Таблица191014[[#This Row],[Грунт]]+Таблица191014[[#This Row],[Щебень]]+Таблица191014[[#This Row],[Асфальт]]+Таблица191014[[#This Row],[Бетон]]</f>
        <v>1.1000000000000001</v>
      </c>
      <c r="F171" s="311">
        <v>1.1000000000000001</v>
      </c>
      <c r="G171" s="140"/>
      <c r="H171" s="249"/>
      <c r="I171" s="139"/>
      <c r="J171" s="232"/>
      <c r="K171" s="234">
        <v>1</v>
      </c>
      <c r="N171" s="234" t="b">
        <f>OR(Таблица191014[[#This Row],[Щебень]]&gt;0,Таблица191014[[#This Row],[Асфальт]]&gt;0,Таблица191014[[#This Row],[Бетон]]&gt;0)</f>
        <v>0</v>
      </c>
      <c r="Q171" s="234">
        <v>167</v>
      </c>
      <c r="U171" s="285"/>
      <c r="V171" s="285">
        <f>Таблица191014[[#This Row],[Грунт]]+Таблица191014[[#This Row],[Щебень]]+Таблица191014[[#This Row],[Асфальт]]+Таблица191014[[#This Row],[Бетон]]</f>
        <v>1.1000000000000001</v>
      </c>
      <c r="W171" s="285"/>
      <c r="X171" s="285"/>
      <c r="Y171" s="285"/>
      <c r="Z171" s="285"/>
      <c r="AG171" s="234">
        <v>63</v>
      </c>
    </row>
    <row r="172" spans="1:33" s="234" customFormat="1" x14ac:dyDescent="0.35">
      <c r="A172" s="146">
        <v>169</v>
      </c>
      <c r="B172" s="146" t="s">
        <v>328</v>
      </c>
      <c r="C172" s="146" t="s">
        <v>329</v>
      </c>
      <c r="D172" s="146" t="s">
        <v>542</v>
      </c>
      <c r="E172" s="254">
        <f>Таблица191014[[#This Row],[Грунт]]+Таблица191014[[#This Row],[Щебень]]+Таблица191014[[#This Row],[Асфальт]]+Таблица191014[[#This Row],[Бетон]]</f>
        <v>0.5</v>
      </c>
      <c r="F172" s="311">
        <v>0.5</v>
      </c>
      <c r="G172" s="140"/>
      <c r="H172" s="249"/>
      <c r="I172" s="139"/>
      <c r="J172" s="232"/>
      <c r="K172" s="234">
        <v>1</v>
      </c>
      <c r="N172" s="234" t="b">
        <f>OR(Таблица191014[[#This Row],[Щебень]]&gt;0,Таблица191014[[#This Row],[Асфальт]]&gt;0,Таблица191014[[#This Row],[Бетон]]&gt;0)</f>
        <v>0</v>
      </c>
      <c r="Q172" s="234">
        <v>168</v>
      </c>
      <c r="U172" s="285"/>
      <c r="V172" s="285">
        <f>Таблица191014[[#This Row],[Грунт]]+Таблица191014[[#This Row],[Щебень]]+Таблица191014[[#This Row],[Асфальт]]+Таблица191014[[#This Row],[Бетон]]</f>
        <v>0.5</v>
      </c>
      <c r="W172" s="285"/>
      <c r="X172" s="285"/>
      <c r="Y172" s="285"/>
      <c r="Z172" s="285"/>
      <c r="AG172" s="234">
        <v>64</v>
      </c>
    </row>
    <row r="173" spans="1:33" s="234" customFormat="1" x14ac:dyDescent="0.35">
      <c r="A173" s="146">
        <v>170</v>
      </c>
      <c r="B173" s="146" t="s">
        <v>330</v>
      </c>
      <c r="C173" s="146" t="s">
        <v>331</v>
      </c>
      <c r="D173" s="146" t="s">
        <v>542</v>
      </c>
      <c r="E173" s="254">
        <f>Таблица191014[[#This Row],[Грунт]]+Таблица191014[[#This Row],[Щебень]]+Таблица191014[[#This Row],[Асфальт]]+Таблица191014[[#This Row],[Бетон]]</f>
        <v>1.2</v>
      </c>
      <c r="F173" s="311">
        <v>1</v>
      </c>
      <c r="G173" s="140"/>
      <c r="H173" s="249">
        <v>0.2</v>
      </c>
      <c r="I173" s="139"/>
      <c r="J173" s="232"/>
      <c r="K173" s="234">
        <v>1</v>
      </c>
      <c r="N173" s="234" t="b">
        <f>OR(Таблица191014[[#This Row],[Щебень]]&gt;0,Таблица191014[[#This Row],[Асфальт]]&gt;0,Таблица191014[[#This Row],[Бетон]]&gt;0)</f>
        <v>1</v>
      </c>
      <c r="O173" s="234">
        <v>1</v>
      </c>
      <c r="Q173" s="234">
        <v>169</v>
      </c>
      <c r="U173" s="285"/>
      <c r="V173" s="285">
        <f>Таблица191014[[#This Row],[Грунт]]+Таблица191014[[#This Row],[Щебень]]+Таблица191014[[#This Row],[Асфальт]]+Таблица191014[[#This Row],[Бетон]]</f>
        <v>1.2</v>
      </c>
      <c r="W173" s="285"/>
      <c r="X173" s="285"/>
      <c r="Y173" s="285"/>
      <c r="Z173" s="285"/>
      <c r="AG173" s="234">
        <v>65</v>
      </c>
    </row>
    <row r="174" spans="1:33" s="234" customFormat="1" ht="46.5" x14ac:dyDescent="0.35">
      <c r="A174" s="146">
        <v>171</v>
      </c>
      <c r="B174" s="146" t="s">
        <v>332</v>
      </c>
      <c r="C174" s="146" t="s">
        <v>333</v>
      </c>
      <c r="D174" s="146" t="s">
        <v>542</v>
      </c>
      <c r="E174" s="254">
        <f>Таблица191014[[#This Row],[Грунт]]+Таблица191014[[#This Row],[Щебень]]+Таблица191014[[#This Row],[Асфальт]]+Таблица191014[[#This Row],[Бетон]]</f>
        <v>0.6</v>
      </c>
      <c r="F174" s="311"/>
      <c r="G174" s="140">
        <v>0.6</v>
      </c>
      <c r="H174" s="249"/>
      <c r="I174" s="139"/>
      <c r="J174" s="232"/>
      <c r="K174" s="234">
        <v>1</v>
      </c>
      <c r="N174" s="234" t="b">
        <f>OR(Таблица191014[[#This Row],[Щебень]]&gt;0,Таблица191014[[#This Row],[Асфальт]]&gt;0,Таблица191014[[#This Row],[Бетон]]&gt;0)</f>
        <v>1</v>
      </c>
      <c r="O174" s="234">
        <v>1</v>
      </c>
      <c r="Q174" s="234">
        <v>170</v>
      </c>
      <c r="U174" s="285"/>
      <c r="V174" s="285">
        <f>Таблица191014[[#This Row],[Грунт]]+Таблица191014[[#This Row],[Щебень]]+Таблица191014[[#This Row],[Асфальт]]+Таблица191014[[#This Row],[Бетон]]</f>
        <v>0.6</v>
      </c>
      <c r="W174" s="285"/>
      <c r="X174" s="285"/>
      <c r="Y174" s="285"/>
      <c r="Z174" s="285"/>
      <c r="AG174" s="234">
        <v>66</v>
      </c>
    </row>
    <row r="175" spans="1:33" s="234" customFormat="1" x14ac:dyDescent="0.35">
      <c r="A175" s="146">
        <v>172</v>
      </c>
      <c r="B175" s="146" t="s">
        <v>334</v>
      </c>
      <c r="C175" s="146" t="s">
        <v>335</v>
      </c>
      <c r="D175" s="146" t="s">
        <v>543</v>
      </c>
      <c r="E175" s="254">
        <f>Таблица191014[[#This Row],[Грунт]]+Таблица191014[[#This Row],[Щебень]]+Таблица191014[[#This Row],[Асфальт]]+Таблица191014[[#This Row],[Бетон]]</f>
        <v>2</v>
      </c>
      <c r="F175" s="315">
        <v>0.2</v>
      </c>
      <c r="G175" s="140">
        <v>0.3</v>
      </c>
      <c r="H175" s="249">
        <v>1</v>
      </c>
      <c r="I175" s="139">
        <v>0.5</v>
      </c>
      <c r="J175" s="232"/>
      <c r="K175" s="234" t="s">
        <v>557</v>
      </c>
      <c r="N175" s="234" t="b">
        <f>OR(Таблица191014[[#This Row],[Щебень]]&gt;0,Таблица191014[[#This Row],[Асфальт]]&gt;0,Таблица191014[[#This Row],[Бетон]]&gt;0)</f>
        <v>1</v>
      </c>
      <c r="O175" s="234">
        <v>1</v>
      </c>
      <c r="P175" s="234">
        <v>1.7</v>
      </c>
      <c r="Q175" s="234">
        <v>171</v>
      </c>
      <c r="U175" s="285"/>
      <c r="V175" s="285">
        <f>Таблица191014[[#This Row],[Грунт]]+Таблица191014[[#This Row],[Щебень]]+Таблица191014[[#This Row],[Асфальт]]+Таблица191014[[#This Row],[Бетон]]</f>
        <v>2</v>
      </c>
      <c r="W175" s="285"/>
      <c r="X175" s="285"/>
      <c r="Y175" s="285"/>
      <c r="Z175" s="285"/>
      <c r="AG175" s="234">
        <v>67</v>
      </c>
    </row>
    <row r="176" spans="1:33" s="234" customFormat="1" x14ac:dyDescent="0.35">
      <c r="A176" s="146">
        <v>173</v>
      </c>
      <c r="B176" s="146" t="s">
        <v>336</v>
      </c>
      <c r="C176" s="146" t="s">
        <v>337</v>
      </c>
      <c r="D176" s="146" t="s">
        <v>543</v>
      </c>
      <c r="E176" s="254">
        <f>Таблица191014[[#This Row],[Грунт]]+Таблица191014[[#This Row],[Щебень]]+Таблица191014[[#This Row],[Асфальт]]+Таблица191014[[#This Row],[Бетон]]</f>
        <v>0.3</v>
      </c>
      <c r="F176" s="315">
        <v>0.3</v>
      </c>
      <c r="G176" s="140"/>
      <c r="H176" s="249"/>
      <c r="I176" s="139"/>
      <c r="J176" s="232"/>
      <c r="K176" s="234">
        <v>1</v>
      </c>
      <c r="N176" s="234" t="b">
        <f>OR(Таблица191014[[#This Row],[Щебень]]&gt;0,Таблица191014[[#This Row],[Асфальт]]&gt;0,Таблица191014[[#This Row],[Бетон]]&gt;0)</f>
        <v>0</v>
      </c>
      <c r="Q176" s="234">
        <v>172</v>
      </c>
      <c r="U176" s="285"/>
      <c r="V176" s="285">
        <f>Таблица191014[[#This Row],[Грунт]]+Таблица191014[[#This Row],[Щебень]]+Таблица191014[[#This Row],[Асфальт]]+Таблица191014[[#This Row],[Бетон]]</f>
        <v>0.3</v>
      </c>
      <c r="W176" s="285"/>
      <c r="X176" s="285"/>
      <c r="Y176" s="285"/>
      <c r="Z176" s="285"/>
      <c r="AG176" s="234">
        <v>68</v>
      </c>
    </row>
    <row r="177" spans="1:33" s="234" customFormat="1" x14ac:dyDescent="0.35">
      <c r="A177" s="146">
        <v>174</v>
      </c>
      <c r="B177" s="146" t="s">
        <v>338</v>
      </c>
      <c r="C177" s="146" t="s">
        <v>339</v>
      </c>
      <c r="D177" s="146" t="s">
        <v>543</v>
      </c>
      <c r="E177" s="254">
        <f>Таблица191014[[#This Row],[Грунт]]+Таблица191014[[#This Row],[Щебень]]+Таблица191014[[#This Row],[Асфальт]]+Таблица191014[[#This Row],[Бетон]]</f>
        <v>0.85</v>
      </c>
      <c r="F177" s="315">
        <v>0.85</v>
      </c>
      <c r="G177" s="140"/>
      <c r="H177" s="249"/>
      <c r="I177" s="139"/>
      <c r="J177" s="232"/>
      <c r="K177" s="234">
        <v>1</v>
      </c>
      <c r="N177" s="234" t="b">
        <f>OR(Таблица191014[[#This Row],[Щебень]]&gt;0,Таблица191014[[#This Row],[Асфальт]]&gt;0,Таблица191014[[#This Row],[Бетон]]&gt;0)</f>
        <v>0</v>
      </c>
      <c r="Q177" s="234">
        <v>173</v>
      </c>
      <c r="U177" s="285"/>
      <c r="V177" s="285">
        <f>Таблица191014[[#This Row],[Грунт]]+Таблица191014[[#This Row],[Щебень]]+Таблица191014[[#This Row],[Асфальт]]+Таблица191014[[#This Row],[Бетон]]</f>
        <v>0.85</v>
      </c>
      <c r="W177" s="285"/>
      <c r="X177" s="285"/>
      <c r="Y177" s="285"/>
      <c r="Z177" s="285"/>
      <c r="AG177" s="234">
        <v>69</v>
      </c>
    </row>
    <row r="178" spans="1:33" s="234" customFormat="1" x14ac:dyDescent="0.35">
      <c r="A178" s="146">
        <v>175</v>
      </c>
      <c r="B178" s="146" t="s">
        <v>340</v>
      </c>
      <c r="C178" s="146" t="s">
        <v>341</v>
      </c>
      <c r="D178" s="146" t="s">
        <v>543</v>
      </c>
      <c r="E178" s="254">
        <f>Таблица191014[[#This Row],[Грунт]]+Таблица191014[[#This Row],[Щебень]]+Таблица191014[[#This Row],[Асфальт]]+Таблица191014[[#This Row],[Бетон]]</f>
        <v>0.4</v>
      </c>
      <c r="F178" s="315">
        <v>0.4</v>
      </c>
      <c r="G178" s="140"/>
      <c r="H178" s="249"/>
      <c r="I178" s="139"/>
      <c r="J178" s="232"/>
      <c r="K178" s="234">
        <v>1</v>
      </c>
      <c r="N178" s="234" t="b">
        <f>OR(Таблица191014[[#This Row],[Щебень]]&gt;0,Таблица191014[[#This Row],[Асфальт]]&gt;0,Таблица191014[[#This Row],[Бетон]]&gt;0)</f>
        <v>0</v>
      </c>
      <c r="Q178" s="234">
        <v>174</v>
      </c>
      <c r="U178" s="285"/>
      <c r="V178" s="285">
        <f>Таблица191014[[#This Row],[Грунт]]+Таблица191014[[#This Row],[Щебень]]+Таблица191014[[#This Row],[Асфальт]]+Таблица191014[[#This Row],[Бетон]]</f>
        <v>0.4</v>
      </c>
      <c r="W178" s="285"/>
      <c r="X178" s="285"/>
      <c r="Y178" s="285"/>
      <c r="Z178" s="285"/>
      <c r="AG178" s="234">
        <v>70</v>
      </c>
    </row>
    <row r="179" spans="1:33" s="234" customFormat="1" x14ac:dyDescent="0.35">
      <c r="A179" s="146">
        <v>176</v>
      </c>
      <c r="B179" s="146" t="s">
        <v>342</v>
      </c>
      <c r="C179" s="146" t="s">
        <v>343</v>
      </c>
      <c r="D179" s="146" t="s">
        <v>543</v>
      </c>
      <c r="E179" s="254">
        <f>Таблица191014[[#This Row],[Грунт]]+Таблица191014[[#This Row],[Щебень]]+Таблица191014[[#This Row],[Асфальт]]+Таблица191014[[#This Row],[Бетон]]</f>
        <v>1.45</v>
      </c>
      <c r="F179" s="315">
        <v>1.45</v>
      </c>
      <c r="G179" s="140"/>
      <c r="H179" s="249"/>
      <c r="I179" s="139"/>
      <c r="J179" s="232"/>
      <c r="K179" s="234">
        <v>1</v>
      </c>
      <c r="N179" s="234" t="b">
        <f>OR(Таблица191014[[#This Row],[Щебень]]&gt;0,Таблица191014[[#This Row],[Асфальт]]&gt;0,Таблица191014[[#This Row],[Бетон]]&gt;0)</f>
        <v>0</v>
      </c>
      <c r="Q179" s="234">
        <v>175</v>
      </c>
      <c r="U179" s="285"/>
      <c r="V179" s="285">
        <f>Таблица191014[[#This Row],[Грунт]]+Таблица191014[[#This Row],[Щебень]]+Таблица191014[[#This Row],[Асфальт]]+Таблица191014[[#This Row],[Бетон]]</f>
        <v>1.45</v>
      </c>
      <c r="W179" s="285"/>
      <c r="X179" s="285"/>
      <c r="Y179" s="285"/>
      <c r="Z179" s="285"/>
      <c r="AG179" s="234">
        <v>71</v>
      </c>
    </row>
    <row r="180" spans="1:33" s="234" customFormat="1" x14ac:dyDescent="0.35">
      <c r="A180" s="146">
        <v>177</v>
      </c>
      <c r="B180" s="146" t="s">
        <v>344</v>
      </c>
      <c r="C180" s="146" t="s">
        <v>345</v>
      </c>
      <c r="D180" s="146" t="s">
        <v>543</v>
      </c>
      <c r="E180" s="254">
        <f>Таблица191014[[#This Row],[Грунт]]+Таблица191014[[#This Row],[Щебень]]+Таблица191014[[#This Row],[Асфальт]]+Таблица191014[[#This Row],[Бетон]]</f>
        <v>0.8</v>
      </c>
      <c r="F180" s="315">
        <v>0.8</v>
      </c>
      <c r="G180" s="140"/>
      <c r="H180" s="249"/>
      <c r="I180" s="139"/>
      <c r="J180" s="232"/>
      <c r="K180" s="234">
        <v>1</v>
      </c>
      <c r="N180" s="234" t="b">
        <f>OR(Таблица191014[[#This Row],[Щебень]]&gt;0,Таблица191014[[#This Row],[Асфальт]]&gt;0,Таблица191014[[#This Row],[Бетон]]&gt;0)</f>
        <v>0</v>
      </c>
      <c r="Q180" s="234">
        <v>176</v>
      </c>
      <c r="U180" s="285"/>
      <c r="V180" s="285">
        <f>Таблица191014[[#This Row],[Грунт]]+Таблица191014[[#This Row],[Щебень]]+Таблица191014[[#This Row],[Асфальт]]+Таблица191014[[#This Row],[Бетон]]</f>
        <v>0.8</v>
      </c>
      <c r="W180" s="285"/>
      <c r="X180" s="285"/>
      <c r="Y180" s="285"/>
      <c r="Z180" s="285"/>
      <c r="AG180" s="234">
        <v>72</v>
      </c>
    </row>
    <row r="181" spans="1:33" s="234" customFormat="1" x14ac:dyDescent="0.35">
      <c r="A181" s="146">
        <v>178</v>
      </c>
      <c r="B181" s="146" t="s">
        <v>346</v>
      </c>
      <c r="C181" s="146" t="s">
        <v>347</v>
      </c>
      <c r="D181" s="146" t="s">
        <v>543</v>
      </c>
      <c r="E181" s="254">
        <f>Таблица191014[[#This Row],[Грунт]]+Таблица191014[[#This Row],[Щебень]]+Таблица191014[[#This Row],[Асфальт]]+Таблица191014[[#This Row],[Бетон]]</f>
        <v>1.5</v>
      </c>
      <c r="F181" s="315">
        <v>1.5</v>
      </c>
      <c r="G181" s="140"/>
      <c r="H181" s="249"/>
      <c r="I181" s="139"/>
      <c r="J181" s="232"/>
      <c r="K181" s="234">
        <v>1</v>
      </c>
      <c r="N181" s="234" t="b">
        <f>OR(Таблица191014[[#This Row],[Щебень]]&gt;0,Таблица191014[[#This Row],[Асфальт]]&gt;0,Таблица191014[[#This Row],[Бетон]]&gt;0)</f>
        <v>0</v>
      </c>
      <c r="Q181" s="234">
        <v>177</v>
      </c>
      <c r="U181" s="285"/>
      <c r="V181" s="285">
        <f>Таблица191014[[#This Row],[Грунт]]+Таблица191014[[#This Row],[Щебень]]+Таблица191014[[#This Row],[Асфальт]]+Таблица191014[[#This Row],[Бетон]]</f>
        <v>1.5</v>
      </c>
      <c r="W181" s="285"/>
      <c r="X181" s="285"/>
      <c r="Y181" s="285"/>
      <c r="Z181" s="285"/>
      <c r="AG181" s="234">
        <v>73</v>
      </c>
    </row>
    <row r="182" spans="1:33" s="234" customFormat="1" x14ac:dyDescent="0.35">
      <c r="A182" s="146">
        <v>179</v>
      </c>
      <c r="B182" s="146" t="s">
        <v>348</v>
      </c>
      <c r="C182" s="146" t="s">
        <v>349</v>
      </c>
      <c r="D182" s="146" t="s">
        <v>543</v>
      </c>
      <c r="E182" s="254">
        <f>Таблица191014[[#This Row],[Грунт]]+Таблица191014[[#This Row],[Щебень]]+Таблица191014[[#This Row],[Асфальт]]+Таблица191014[[#This Row],[Бетон]]</f>
        <v>0.65</v>
      </c>
      <c r="F182" s="315">
        <v>0.65</v>
      </c>
      <c r="G182" s="140"/>
      <c r="H182" s="249"/>
      <c r="I182" s="139"/>
      <c r="J182" s="232"/>
      <c r="K182" s="234">
        <v>1</v>
      </c>
      <c r="N182" s="234" t="b">
        <f>OR(Таблица191014[[#This Row],[Щебень]]&gt;0,Таблица191014[[#This Row],[Асфальт]]&gt;0,Таблица191014[[#This Row],[Бетон]]&gt;0)</f>
        <v>0</v>
      </c>
      <c r="Q182" s="234">
        <v>178</v>
      </c>
      <c r="U182" s="285"/>
      <c r="V182" s="285">
        <f>Таблица191014[[#This Row],[Грунт]]+Таблица191014[[#This Row],[Щебень]]+Таблица191014[[#This Row],[Асфальт]]+Таблица191014[[#This Row],[Бетон]]</f>
        <v>0.65</v>
      </c>
      <c r="W182" s="285"/>
      <c r="X182" s="285"/>
      <c r="Y182" s="285"/>
      <c r="Z182" s="285"/>
      <c r="AG182" s="234">
        <v>74</v>
      </c>
    </row>
    <row r="183" spans="1:33" s="234" customFormat="1" x14ac:dyDescent="0.35">
      <c r="A183" s="146">
        <v>180</v>
      </c>
      <c r="B183" s="146" t="s">
        <v>350</v>
      </c>
      <c r="C183" s="146" t="s">
        <v>351</v>
      </c>
      <c r="D183" s="146" t="s">
        <v>543</v>
      </c>
      <c r="E183" s="254">
        <f>Таблица191014[[#This Row],[Грунт]]+Таблица191014[[#This Row],[Щебень]]+Таблица191014[[#This Row],[Асфальт]]+Таблица191014[[#This Row],[Бетон]]</f>
        <v>0.75</v>
      </c>
      <c r="F183" s="315">
        <v>0.75</v>
      </c>
      <c r="G183" s="140"/>
      <c r="H183" s="249"/>
      <c r="I183" s="139"/>
      <c r="J183" s="232"/>
      <c r="K183" s="234">
        <v>1</v>
      </c>
      <c r="N183" s="234" t="b">
        <f>OR(Таблица191014[[#This Row],[Щебень]]&gt;0,Таблица191014[[#This Row],[Асфальт]]&gt;0,Таблица191014[[#This Row],[Бетон]]&gt;0)</f>
        <v>0</v>
      </c>
      <c r="Q183" s="234">
        <v>179</v>
      </c>
      <c r="U183" s="285"/>
      <c r="V183" s="285">
        <f>Таблица191014[[#This Row],[Грунт]]+Таблица191014[[#This Row],[Щебень]]+Таблица191014[[#This Row],[Асфальт]]+Таблица191014[[#This Row],[Бетон]]</f>
        <v>0.75</v>
      </c>
      <c r="W183" s="285"/>
      <c r="X183" s="285"/>
      <c r="Y183" s="285"/>
      <c r="Z183" s="285"/>
      <c r="AG183" s="234">
        <v>75</v>
      </c>
    </row>
    <row r="184" spans="1:33" s="234" customFormat="1" x14ac:dyDescent="0.35">
      <c r="A184" s="146">
        <v>181</v>
      </c>
      <c r="B184" s="146" t="s">
        <v>352</v>
      </c>
      <c r="C184" s="146" t="s">
        <v>353</v>
      </c>
      <c r="D184" s="146" t="s">
        <v>543</v>
      </c>
      <c r="E184" s="254">
        <f>Таблица191014[[#This Row],[Грунт]]+Таблица191014[[#This Row],[Щебень]]+Таблица191014[[#This Row],[Асфальт]]+Таблица191014[[#This Row],[Бетон]]</f>
        <v>0.6</v>
      </c>
      <c r="F184" s="315">
        <v>0.6</v>
      </c>
      <c r="G184" s="140"/>
      <c r="H184" s="249"/>
      <c r="I184" s="139"/>
      <c r="J184" s="232"/>
      <c r="K184" s="234">
        <v>1</v>
      </c>
      <c r="N184" s="234" t="b">
        <f>OR(Таблица191014[[#This Row],[Щебень]]&gt;0,Таблица191014[[#This Row],[Асфальт]]&gt;0,Таблица191014[[#This Row],[Бетон]]&gt;0)</f>
        <v>0</v>
      </c>
      <c r="Q184" s="234">
        <v>180</v>
      </c>
      <c r="U184" s="285"/>
      <c r="V184" s="285">
        <f>Таблица191014[[#This Row],[Грунт]]+Таблица191014[[#This Row],[Щебень]]+Таблица191014[[#This Row],[Асфальт]]+Таблица191014[[#This Row],[Бетон]]</f>
        <v>0.6</v>
      </c>
      <c r="W184" s="285"/>
      <c r="X184" s="285"/>
      <c r="Y184" s="285"/>
      <c r="Z184" s="285"/>
      <c r="AG184" s="234">
        <v>76</v>
      </c>
    </row>
    <row r="185" spans="1:33" s="234" customFormat="1" x14ac:dyDescent="0.35">
      <c r="A185" s="146">
        <v>182</v>
      </c>
      <c r="B185" s="146" t="s">
        <v>354</v>
      </c>
      <c r="C185" s="146" t="s">
        <v>355</v>
      </c>
      <c r="D185" s="146" t="s">
        <v>543</v>
      </c>
      <c r="E185" s="254">
        <f>Таблица191014[[#This Row],[Грунт]]+Таблица191014[[#This Row],[Щебень]]+Таблица191014[[#This Row],[Асфальт]]+Таблица191014[[#This Row],[Бетон]]</f>
        <v>0.3</v>
      </c>
      <c r="F185" s="315">
        <v>0.3</v>
      </c>
      <c r="G185" s="140"/>
      <c r="H185" s="249"/>
      <c r="I185" s="139"/>
      <c r="J185" s="232"/>
      <c r="K185" s="234">
        <v>1</v>
      </c>
      <c r="N185" s="234" t="b">
        <f>OR(Таблица191014[[#This Row],[Щебень]]&gt;0,Таблица191014[[#This Row],[Асфальт]]&gt;0,Таблица191014[[#This Row],[Бетон]]&gt;0)</f>
        <v>0</v>
      </c>
      <c r="Q185" s="234">
        <v>181</v>
      </c>
      <c r="U185" s="285"/>
      <c r="V185" s="285">
        <f>Таблица191014[[#This Row],[Грунт]]+Таблица191014[[#This Row],[Щебень]]+Таблица191014[[#This Row],[Асфальт]]+Таблица191014[[#This Row],[Бетон]]</f>
        <v>0.3</v>
      </c>
      <c r="W185" s="285"/>
      <c r="X185" s="285"/>
      <c r="Y185" s="285"/>
      <c r="Z185" s="285"/>
      <c r="AG185" s="234">
        <v>77</v>
      </c>
    </row>
    <row r="186" spans="1:33" s="234" customFormat="1" x14ac:dyDescent="0.35">
      <c r="A186" s="146">
        <v>183</v>
      </c>
      <c r="B186" s="146" t="s">
        <v>356</v>
      </c>
      <c r="C186" s="146" t="s">
        <v>357</v>
      </c>
      <c r="D186" s="146" t="s">
        <v>544</v>
      </c>
      <c r="E186" s="254">
        <f>Таблица191014[[#This Row],[Грунт]]+Таблица191014[[#This Row],[Щебень]]+Таблица191014[[#This Row],[Асфальт]]+Таблица191014[[#This Row],[Бетон]]</f>
        <v>3.0449999999999999</v>
      </c>
      <c r="F186" s="311">
        <v>2.0390000000000001</v>
      </c>
      <c r="G186" s="140">
        <v>0.98799999999999999</v>
      </c>
      <c r="H186" s="249">
        <v>1.7999999999999999E-2</v>
      </c>
      <c r="I186" s="139"/>
      <c r="J186" s="232"/>
      <c r="K186" s="234">
        <v>1</v>
      </c>
      <c r="N186" s="234" t="b">
        <f>OR(Таблица191014[[#This Row],[Щебень]]&gt;0,Таблица191014[[#This Row],[Асфальт]]&gt;0,Таблица191014[[#This Row],[Бетон]]&gt;0)</f>
        <v>1</v>
      </c>
      <c r="O186" s="234">
        <v>1</v>
      </c>
      <c r="Q186" s="234">
        <v>182</v>
      </c>
      <c r="U186" s="285"/>
      <c r="V186" s="285">
        <f>Таблица191014[[#This Row],[Грунт]]+Таблица191014[[#This Row],[Щебень]]+Таблица191014[[#This Row],[Асфальт]]+Таблица191014[[#This Row],[Бетон]]</f>
        <v>3.0449999999999999</v>
      </c>
      <c r="W186" s="285"/>
      <c r="X186" s="285"/>
      <c r="Y186" s="285"/>
      <c r="Z186" s="285"/>
      <c r="AG186" s="234">
        <v>78</v>
      </c>
    </row>
    <row r="187" spans="1:33" s="234" customFormat="1" x14ac:dyDescent="0.35">
      <c r="A187" s="146">
        <v>184</v>
      </c>
      <c r="B187" s="146" t="s">
        <v>358</v>
      </c>
      <c r="C187" s="146" t="s">
        <v>359</v>
      </c>
      <c r="D187" s="146" t="s">
        <v>544</v>
      </c>
      <c r="E187" s="254">
        <f>Таблица191014[[#This Row],[Грунт]]+Таблица191014[[#This Row],[Щебень]]+Таблица191014[[#This Row],[Асфальт]]+Таблица191014[[#This Row],[Бетон]]</f>
        <v>1</v>
      </c>
      <c r="F187" s="311">
        <v>1</v>
      </c>
      <c r="G187" s="140"/>
      <c r="H187" s="249"/>
      <c r="I187" s="139"/>
      <c r="J187" s="232"/>
      <c r="K187" s="234">
        <v>1</v>
      </c>
      <c r="N187" s="234" t="b">
        <f>OR(Таблица191014[[#This Row],[Щебень]]&gt;0,Таблица191014[[#This Row],[Асфальт]]&gt;0,Таблица191014[[#This Row],[Бетон]]&gt;0)</f>
        <v>0</v>
      </c>
      <c r="Q187" s="234">
        <v>183</v>
      </c>
      <c r="U187" s="285"/>
      <c r="V187" s="285">
        <f>Таблица191014[[#This Row],[Грунт]]+Таблица191014[[#This Row],[Щебень]]+Таблица191014[[#This Row],[Асфальт]]+Таблица191014[[#This Row],[Бетон]]</f>
        <v>1</v>
      </c>
      <c r="W187" s="285"/>
      <c r="X187" s="285"/>
      <c r="Y187" s="285"/>
      <c r="Z187" s="285"/>
      <c r="AG187" s="234">
        <v>79</v>
      </c>
    </row>
    <row r="188" spans="1:33" s="234" customFormat="1" x14ac:dyDescent="0.35">
      <c r="A188" s="146">
        <v>185</v>
      </c>
      <c r="B188" s="146" t="s">
        <v>360</v>
      </c>
      <c r="C188" s="146" t="s">
        <v>361</v>
      </c>
      <c r="D188" s="146" t="s">
        <v>544</v>
      </c>
      <c r="E188" s="254">
        <f>Таблица191014[[#This Row],[Грунт]]+Таблица191014[[#This Row],[Щебень]]+Таблица191014[[#This Row],[Асфальт]]+Таблица191014[[#This Row],[Бетон]]</f>
        <v>1.8</v>
      </c>
      <c r="F188" s="311">
        <v>1.8</v>
      </c>
      <c r="G188" s="140"/>
      <c r="H188" s="249"/>
      <c r="I188" s="139"/>
      <c r="J188" s="232"/>
      <c r="K188" s="234">
        <v>1</v>
      </c>
      <c r="N188" s="234" t="b">
        <f>OR(Таблица191014[[#This Row],[Щебень]]&gt;0,Таблица191014[[#This Row],[Асфальт]]&gt;0,Таблица191014[[#This Row],[Бетон]]&gt;0)</f>
        <v>0</v>
      </c>
      <c r="Q188" s="234">
        <v>184</v>
      </c>
      <c r="U188" s="285"/>
      <c r="V188" s="285">
        <f>Таблица191014[[#This Row],[Грунт]]+Таблица191014[[#This Row],[Щебень]]+Таблица191014[[#This Row],[Асфальт]]+Таблица191014[[#This Row],[Бетон]]</f>
        <v>1.8</v>
      </c>
      <c r="W188" s="285"/>
      <c r="X188" s="285"/>
      <c r="Y188" s="285"/>
      <c r="Z188" s="285"/>
      <c r="AG188" s="234">
        <v>80</v>
      </c>
    </row>
    <row r="189" spans="1:33" s="234" customFormat="1" x14ac:dyDescent="0.35">
      <c r="A189" s="146">
        <v>186</v>
      </c>
      <c r="B189" s="146" t="s">
        <v>362</v>
      </c>
      <c r="C189" s="146" t="s">
        <v>363</v>
      </c>
      <c r="D189" s="146" t="s">
        <v>544</v>
      </c>
      <c r="E189" s="254">
        <f>Таблица191014[[#This Row],[Грунт]]+Таблица191014[[#This Row],[Щебень]]+Таблица191014[[#This Row],[Асфальт]]+Таблица191014[[#This Row],[Бетон]]</f>
        <v>1</v>
      </c>
      <c r="F189" s="311">
        <v>1</v>
      </c>
      <c r="G189" s="140"/>
      <c r="H189" s="249"/>
      <c r="I189" s="139"/>
      <c r="J189" s="232"/>
      <c r="K189" s="234">
        <v>1</v>
      </c>
      <c r="N189" s="234" t="b">
        <f>OR(Таблица191014[[#This Row],[Щебень]]&gt;0,Таблица191014[[#This Row],[Асфальт]]&gt;0,Таблица191014[[#This Row],[Бетон]]&gt;0)</f>
        <v>0</v>
      </c>
      <c r="Q189" s="234">
        <v>185</v>
      </c>
      <c r="U189" s="285"/>
      <c r="V189" s="285">
        <f>Таблица191014[[#This Row],[Грунт]]+Таблица191014[[#This Row],[Щебень]]+Таблица191014[[#This Row],[Асфальт]]+Таблица191014[[#This Row],[Бетон]]</f>
        <v>1</v>
      </c>
      <c r="W189" s="285"/>
      <c r="X189" s="285"/>
      <c r="Y189" s="285"/>
      <c r="Z189" s="285"/>
      <c r="AG189" s="234">
        <v>81</v>
      </c>
    </row>
    <row r="190" spans="1:33" s="234" customFormat="1" x14ac:dyDescent="0.35">
      <c r="A190" s="146">
        <v>187</v>
      </c>
      <c r="B190" s="146" t="s">
        <v>364</v>
      </c>
      <c r="C190" s="146" t="s">
        <v>365</v>
      </c>
      <c r="D190" s="146" t="s">
        <v>544</v>
      </c>
      <c r="E190" s="254">
        <f>Таблица191014[[#This Row],[Грунт]]+Таблица191014[[#This Row],[Щебень]]+Таблица191014[[#This Row],[Асфальт]]+Таблица191014[[#This Row],[Бетон]]</f>
        <v>1.1000000000000001</v>
      </c>
      <c r="F190" s="311">
        <v>1.1000000000000001</v>
      </c>
      <c r="G190" s="140"/>
      <c r="H190" s="249"/>
      <c r="I190" s="139"/>
      <c r="J190" s="232"/>
      <c r="K190" s="234">
        <v>1</v>
      </c>
      <c r="N190" s="234" t="b">
        <f>OR(Таблица191014[[#This Row],[Щебень]]&gt;0,Таблица191014[[#This Row],[Асфальт]]&gt;0,Таблица191014[[#This Row],[Бетон]]&gt;0)</f>
        <v>0</v>
      </c>
      <c r="Q190" s="234">
        <v>186</v>
      </c>
      <c r="U190" s="285"/>
      <c r="V190" s="285">
        <f>Таблица191014[[#This Row],[Грунт]]+Таблица191014[[#This Row],[Щебень]]+Таблица191014[[#This Row],[Асфальт]]+Таблица191014[[#This Row],[Бетон]]</f>
        <v>1.1000000000000001</v>
      </c>
      <c r="W190" s="285"/>
      <c r="X190" s="285"/>
      <c r="Y190" s="285"/>
      <c r="Z190" s="285"/>
      <c r="AG190" s="234">
        <v>82</v>
      </c>
    </row>
    <row r="191" spans="1:33" s="234" customFormat="1" x14ac:dyDescent="0.35">
      <c r="A191" s="146">
        <v>188</v>
      </c>
      <c r="B191" s="146" t="s">
        <v>334</v>
      </c>
      <c r="C191" s="146" t="s">
        <v>366</v>
      </c>
      <c r="D191" s="146" t="s">
        <v>545</v>
      </c>
      <c r="E191" s="254">
        <f>Таблица191014[[#This Row],[Грунт]]+Таблица191014[[#This Row],[Щебень]]+Таблица191014[[#This Row],[Асфальт]]+Таблица191014[[#This Row],[Бетон]]</f>
        <v>4.32</v>
      </c>
      <c r="F191" s="311">
        <v>2</v>
      </c>
      <c r="G191" s="140">
        <v>2</v>
      </c>
      <c r="H191" s="249"/>
      <c r="I191" s="139">
        <v>0.32</v>
      </c>
      <c r="J191" s="232"/>
      <c r="K191" s="234" t="s">
        <v>557</v>
      </c>
      <c r="N191" s="234" t="b">
        <f>OR(Таблица191014[[#This Row],[Щебень]]&gt;0,Таблица191014[[#This Row],[Асфальт]]&gt;0,Таблица191014[[#This Row],[Бетон]]&gt;0)</f>
        <v>1</v>
      </c>
      <c r="O191" s="234">
        <v>1</v>
      </c>
      <c r="Q191" s="234">
        <v>187</v>
      </c>
      <c r="U191" s="285"/>
      <c r="V191" s="285">
        <f>Таблица191014[[#This Row],[Грунт]]+Таблица191014[[#This Row],[Щебень]]+Таблица191014[[#This Row],[Асфальт]]+Таблица191014[[#This Row],[Бетон]]</f>
        <v>4.32</v>
      </c>
      <c r="W191" s="285"/>
      <c r="X191" s="285"/>
      <c r="Y191" s="285"/>
      <c r="Z191" s="285"/>
      <c r="AG191" s="234">
        <v>83</v>
      </c>
    </row>
    <row r="192" spans="1:33" s="234" customFormat="1" x14ac:dyDescent="0.35">
      <c r="A192" s="146">
        <v>189</v>
      </c>
      <c r="B192" s="146" t="s">
        <v>336</v>
      </c>
      <c r="C192" s="146" t="s">
        <v>367</v>
      </c>
      <c r="D192" s="146" t="s">
        <v>545</v>
      </c>
      <c r="E192" s="254">
        <f>Таблица191014[[#This Row],[Грунт]]+Таблица191014[[#This Row],[Щебень]]+Таблица191014[[#This Row],[Асфальт]]+Таблица191014[[#This Row],[Бетон]]</f>
        <v>2.2000000000000002</v>
      </c>
      <c r="F192" s="311">
        <v>0.7</v>
      </c>
      <c r="G192" s="140"/>
      <c r="H192" s="249">
        <v>1.5</v>
      </c>
      <c r="I192" s="139"/>
      <c r="J192" s="232"/>
      <c r="K192" s="234" t="s">
        <v>557</v>
      </c>
      <c r="N192" s="234" t="b">
        <f>OR(Таблица191014[[#This Row],[Щебень]]&gt;0,Таблица191014[[#This Row],[Асфальт]]&gt;0,Таблица191014[[#This Row],[Бетон]]&gt;0)</f>
        <v>1</v>
      </c>
      <c r="O192" s="234">
        <v>1</v>
      </c>
      <c r="Q192" s="234">
        <v>188</v>
      </c>
      <c r="U192" s="285"/>
      <c r="V192" s="285">
        <f>Таблица191014[[#This Row],[Грунт]]+Таблица191014[[#This Row],[Щебень]]+Таблица191014[[#This Row],[Асфальт]]+Таблица191014[[#This Row],[Бетон]]</f>
        <v>2.2000000000000002</v>
      </c>
      <c r="W192" s="285"/>
      <c r="X192" s="285"/>
      <c r="Y192" s="285"/>
      <c r="Z192" s="285"/>
      <c r="AG192" s="234">
        <v>84</v>
      </c>
    </row>
    <row r="193" spans="1:33" s="234" customFormat="1" x14ac:dyDescent="0.35">
      <c r="A193" s="146">
        <v>190</v>
      </c>
      <c r="B193" s="146" t="s">
        <v>338</v>
      </c>
      <c r="C193" s="146" t="s">
        <v>368</v>
      </c>
      <c r="D193" s="146" t="s">
        <v>545</v>
      </c>
      <c r="E193" s="254">
        <f>Таблица191014[[#This Row],[Грунт]]+Таблица191014[[#This Row],[Щебень]]+Таблица191014[[#This Row],[Асфальт]]+Таблица191014[[#This Row],[Бетон]]</f>
        <v>1.5</v>
      </c>
      <c r="F193" s="311">
        <v>1.5</v>
      </c>
      <c r="G193" s="140"/>
      <c r="H193" s="249"/>
      <c r="I193" s="139"/>
      <c r="J193" s="232"/>
      <c r="K193" s="234">
        <v>1</v>
      </c>
      <c r="N193" s="234" t="b">
        <f>OR(Таблица191014[[#This Row],[Щебень]]&gt;0,Таблица191014[[#This Row],[Асфальт]]&gt;0,Таблица191014[[#This Row],[Бетон]]&gt;0)</f>
        <v>0</v>
      </c>
      <c r="Q193" s="234">
        <v>189</v>
      </c>
      <c r="U193" s="285"/>
      <c r="V193" s="285">
        <f>Таблица191014[[#This Row],[Грунт]]+Таблица191014[[#This Row],[Щебень]]+Таблица191014[[#This Row],[Асфальт]]+Таблица191014[[#This Row],[Бетон]]</f>
        <v>1.5</v>
      </c>
      <c r="W193" s="285"/>
      <c r="X193" s="285"/>
      <c r="Y193" s="285"/>
      <c r="Z193" s="285"/>
      <c r="AG193" s="234">
        <v>85</v>
      </c>
    </row>
    <row r="194" spans="1:33" s="234" customFormat="1" x14ac:dyDescent="0.35">
      <c r="A194" s="146">
        <v>191</v>
      </c>
      <c r="B194" s="146" t="s">
        <v>567</v>
      </c>
      <c r="C194" s="146" t="s">
        <v>369</v>
      </c>
      <c r="D194" s="146" t="s">
        <v>545</v>
      </c>
      <c r="E194" s="254">
        <f>Таблица191014[[#This Row],[Грунт]]+Таблица191014[[#This Row],[Щебень]]+Таблица191014[[#This Row],[Асфальт]]+Таблица191014[[#This Row],[Бетон]]</f>
        <v>2.1</v>
      </c>
      <c r="F194" s="311">
        <v>2.1</v>
      </c>
      <c r="G194" s="140"/>
      <c r="H194" s="249"/>
      <c r="I194" s="139"/>
      <c r="J194" s="232"/>
      <c r="K194" s="234">
        <v>1</v>
      </c>
      <c r="N194" s="238" t="b">
        <f>OR(Таблица191014[[#This Row],[Щебень]]&gt;0,Таблица191014[[#This Row],[Асфальт]]&gt;0,Таблица191014[[#This Row],[Бетон]]&gt;0)</f>
        <v>0</v>
      </c>
      <c r="Q194" s="234">
        <v>190</v>
      </c>
      <c r="U194" s="285"/>
      <c r="V194" s="285">
        <f>Таблица191014[[#This Row],[Грунт]]+Таблица191014[[#This Row],[Щебень]]+Таблица191014[[#This Row],[Асфальт]]+Таблица191014[[#This Row],[Бетон]]</f>
        <v>2.1</v>
      </c>
      <c r="W194" s="285"/>
      <c r="X194" s="285"/>
      <c r="Y194" s="285"/>
      <c r="Z194" s="285"/>
      <c r="AG194" s="234">
        <v>86</v>
      </c>
    </row>
    <row r="195" spans="1:33" s="234" customFormat="1" x14ac:dyDescent="0.35">
      <c r="A195" s="146">
        <v>192</v>
      </c>
      <c r="B195" s="146" t="s">
        <v>342</v>
      </c>
      <c r="C195" s="146" t="s">
        <v>370</v>
      </c>
      <c r="D195" s="146" t="s">
        <v>545</v>
      </c>
      <c r="E195" s="254">
        <f>Таблица191014[[#This Row],[Грунт]]+Таблица191014[[#This Row],[Щебень]]+Таблица191014[[#This Row],[Асфальт]]+Таблица191014[[#This Row],[Бетон]]</f>
        <v>1</v>
      </c>
      <c r="F195" s="311">
        <v>1</v>
      </c>
      <c r="G195" s="140"/>
      <c r="H195" s="249"/>
      <c r="I195" s="139"/>
      <c r="J195" s="232"/>
      <c r="K195" s="234">
        <v>1</v>
      </c>
      <c r="N195" s="234" t="b">
        <f>OR(Таблица191014[[#This Row],[Щебень]]&gt;0,Таблица191014[[#This Row],[Асфальт]]&gt;0,Таблица191014[[#This Row],[Бетон]]&gt;0)</f>
        <v>0</v>
      </c>
      <c r="Q195" s="234">
        <v>191</v>
      </c>
      <c r="U195" s="285"/>
      <c r="V195" s="285">
        <f>Таблица191014[[#This Row],[Грунт]]+Таблица191014[[#This Row],[Щебень]]+Таблица191014[[#This Row],[Асфальт]]+Таблица191014[[#This Row],[Бетон]]</f>
        <v>1</v>
      </c>
      <c r="W195" s="285"/>
      <c r="X195" s="285"/>
      <c r="Y195" s="285"/>
      <c r="Z195" s="285"/>
      <c r="AG195" s="234">
        <v>87</v>
      </c>
    </row>
    <row r="196" spans="1:33" s="234" customFormat="1" x14ac:dyDescent="0.35">
      <c r="A196" s="146">
        <v>193</v>
      </c>
      <c r="B196" s="146" t="s">
        <v>344</v>
      </c>
      <c r="C196" s="146" t="s">
        <v>371</v>
      </c>
      <c r="D196" s="146" t="s">
        <v>545</v>
      </c>
      <c r="E196" s="254">
        <f>Таблица191014[[#This Row],[Грунт]]+Таблица191014[[#This Row],[Щебень]]+Таблица191014[[#This Row],[Асфальт]]+Таблица191014[[#This Row],[Бетон]]</f>
        <v>1.5</v>
      </c>
      <c r="F196" s="311">
        <v>1.5</v>
      </c>
      <c r="G196" s="140"/>
      <c r="H196" s="249"/>
      <c r="I196" s="139"/>
      <c r="J196" s="232"/>
      <c r="K196" s="234">
        <v>1</v>
      </c>
      <c r="N196" s="234" t="b">
        <f>OR(Таблица191014[[#This Row],[Щебень]]&gt;0,Таблица191014[[#This Row],[Асфальт]]&gt;0,Таблица191014[[#This Row],[Бетон]]&gt;0)</f>
        <v>0</v>
      </c>
      <c r="Q196" s="234">
        <v>192</v>
      </c>
      <c r="U196" s="285"/>
      <c r="V196" s="285">
        <f>Таблица191014[[#This Row],[Грунт]]+Таблица191014[[#This Row],[Щебень]]+Таблица191014[[#This Row],[Асфальт]]+Таблица191014[[#This Row],[Бетон]]</f>
        <v>1.5</v>
      </c>
      <c r="W196" s="285"/>
      <c r="X196" s="285"/>
      <c r="Y196" s="285"/>
      <c r="Z196" s="285"/>
      <c r="AG196" s="234">
        <v>88</v>
      </c>
    </row>
    <row r="197" spans="1:33" s="234" customFormat="1" x14ac:dyDescent="0.35">
      <c r="A197" s="146">
        <v>194</v>
      </c>
      <c r="B197" s="146" t="s">
        <v>346</v>
      </c>
      <c r="C197" s="146" t="s">
        <v>372</v>
      </c>
      <c r="D197" s="146" t="s">
        <v>545</v>
      </c>
      <c r="E197" s="254">
        <f>Таблица191014[[#This Row],[Грунт]]+Таблица191014[[#This Row],[Щебень]]+Таблица191014[[#This Row],[Асфальт]]+Таблица191014[[#This Row],[Бетон]]</f>
        <v>2.5</v>
      </c>
      <c r="F197" s="311">
        <v>2.5</v>
      </c>
      <c r="G197" s="140"/>
      <c r="H197" s="249"/>
      <c r="I197" s="139"/>
      <c r="J197" s="232"/>
      <c r="K197" s="234">
        <v>1</v>
      </c>
      <c r="N197" s="234" t="b">
        <f>OR(Таблица191014[[#This Row],[Щебень]]&gt;0,Таблица191014[[#This Row],[Асфальт]]&gt;0,Таблица191014[[#This Row],[Бетон]]&gt;0)</f>
        <v>0</v>
      </c>
      <c r="Q197" s="234">
        <v>193</v>
      </c>
      <c r="U197" s="285"/>
      <c r="V197" s="285">
        <f>Таблица191014[[#This Row],[Грунт]]+Таблица191014[[#This Row],[Щебень]]+Таблица191014[[#This Row],[Асфальт]]+Таблица191014[[#This Row],[Бетон]]</f>
        <v>2.5</v>
      </c>
      <c r="W197" s="285"/>
      <c r="X197" s="285"/>
      <c r="Y197" s="285"/>
      <c r="Z197" s="285"/>
      <c r="AG197" s="234">
        <v>89</v>
      </c>
    </row>
    <row r="198" spans="1:33" s="234" customFormat="1" x14ac:dyDescent="0.35">
      <c r="A198" s="146">
        <v>195</v>
      </c>
      <c r="B198" s="146" t="s">
        <v>348</v>
      </c>
      <c r="C198" s="146" t="s">
        <v>373</v>
      </c>
      <c r="D198" s="146" t="s">
        <v>545</v>
      </c>
      <c r="E198" s="254">
        <f>Таблица191014[[#This Row],[Грунт]]+Таблица191014[[#This Row],[Щебень]]+Таблица191014[[#This Row],[Асфальт]]+Таблица191014[[#This Row],[Бетон]]</f>
        <v>1.5</v>
      </c>
      <c r="F198" s="311">
        <v>1.5</v>
      </c>
      <c r="G198" s="140"/>
      <c r="H198" s="249"/>
      <c r="I198" s="139"/>
      <c r="J198" s="232"/>
      <c r="K198" s="234">
        <v>1</v>
      </c>
      <c r="N198" s="234" t="b">
        <f>OR(Таблица191014[[#This Row],[Щебень]]&gt;0,Таблица191014[[#This Row],[Асфальт]]&gt;0,Таблица191014[[#This Row],[Бетон]]&gt;0)</f>
        <v>0</v>
      </c>
      <c r="Q198" s="234">
        <v>194</v>
      </c>
      <c r="U198" s="285"/>
      <c r="V198" s="285">
        <f>Таблица191014[[#This Row],[Грунт]]+Таблица191014[[#This Row],[Щебень]]+Таблица191014[[#This Row],[Асфальт]]+Таблица191014[[#This Row],[Бетон]]</f>
        <v>1.5</v>
      </c>
      <c r="W198" s="285"/>
      <c r="X198" s="285"/>
      <c r="Y198" s="285"/>
      <c r="Z198" s="285"/>
      <c r="AG198" s="234">
        <v>90</v>
      </c>
    </row>
    <row r="199" spans="1:33" s="234" customFormat="1" x14ac:dyDescent="0.35">
      <c r="A199" s="146">
        <v>196</v>
      </c>
      <c r="B199" s="146" t="s">
        <v>350</v>
      </c>
      <c r="C199" s="146" t="s">
        <v>374</v>
      </c>
      <c r="D199" s="146" t="s">
        <v>545</v>
      </c>
      <c r="E199" s="254">
        <f>Таблица191014[[#This Row],[Грунт]]+Таблица191014[[#This Row],[Щебень]]+Таблица191014[[#This Row],[Асфальт]]+Таблица191014[[#This Row],[Бетон]]</f>
        <v>1.7</v>
      </c>
      <c r="F199" s="311">
        <v>0.2</v>
      </c>
      <c r="G199" s="140">
        <v>0</v>
      </c>
      <c r="H199" s="249">
        <v>1.5</v>
      </c>
      <c r="I199" s="139"/>
      <c r="J199" s="232"/>
      <c r="K199" s="234" t="s">
        <v>557</v>
      </c>
      <c r="N199" s="234" t="b">
        <f>OR(Таблица191014[[#This Row],[Щебень]]&gt;0,Таблица191014[[#This Row],[Асфальт]]&gt;0,Таблица191014[[#This Row],[Бетон]]&gt;0)</f>
        <v>1</v>
      </c>
      <c r="O199" s="234">
        <v>1</v>
      </c>
      <c r="Q199" s="234">
        <v>195</v>
      </c>
      <c r="U199" s="285"/>
      <c r="V199" s="285">
        <f>Таблица191014[[#This Row],[Грунт]]+Таблица191014[[#This Row],[Щебень]]+Таблица191014[[#This Row],[Асфальт]]+Таблица191014[[#This Row],[Бетон]]</f>
        <v>1.7</v>
      </c>
      <c r="W199" s="285"/>
      <c r="X199" s="285"/>
      <c r="Y199" s="285"/>
      <c r="Z199" s="285"/>
      <c r="AG199" s="234">
        <v>91</v>
      </c>
    </row>
    <row r="200" spans="1:33" s="234" customFormat="1" x14ac:dyDescent="0.35">
      <c r="A200" s="146">
        <v>197</v>
      </c>
      <c r="B200" s="146" t="s">
        <v>352</v>
      </c>
      <c r="C200" s="146" t="s">
        <v>375</v>
      </c>
      <c r="D200" s="146" t="s">
        <v>545</v>
      </c>
      <c r="E200" s="254">
        <f>Таблица191014[[#This Row],[Грунт]]+Таблица191014[[#This Row],[Щебень]]+Таблица191014[[#This Row],[Асфальт]]+Таблица191014[[#This Row],[Бетон]]</f>
        <v>1.2</v>
      </c>
      <c r="F200" s="311">
        <v>1.2</v>
      </c>
      <c r="G200" s="140"/>
      <c r="H200" s="249"/>
      <c r="I200" s="139"/>
      <c r="J200" s="232"/>
      <c r="K200" s="234">
        <v>1</v>
      </c>
      <c r="N200" s="234" t="b">
        <f>OR(Таблица191014[[#This Row],[Щебень]]&gt;0,Таблица191014[[#This Row],[Асфальт]]&gt;0,Таблица191014[[#This Row],[Бетон]]&gt;0)</f>
        <v>0</v>
      </c>
      <c r="Q200" s="234">
        <v>196</v>
      </c>
      <c r="U200" s="285"/>
      <c r="V200" s="285">
        <f>Таблица191014[[#This Row],[Грунт]]+Таблица191014[[#This Row],[Щебень]]+Таблица191014[[#This Row],[Асфальт]]+Таблица191014[[#This Row],[Бетон]]</f>
        <v>1.2</v>
      </c>
      <c r="W200" s="285"/>
      <c r="X200" s="285"/>
      <c r="Y200" s="285"/>
      <c r="Z200" s="285"/>
      <c r="AG200" s="234">
        <v>92</v>
      </c>
    </row>
    <row r="201" spans="1:33" s="234" customFormat="1" x14ac:dyDescent="0.35">
      <c r="A201" s="146">
        <v>198</v>
      </c>
      <c r="B201" s="146" t="s">
        <v>354</v>
      </c>
      <c r="C201" s="146" t="s">
        <v>376</v>
      </c>
      <c r="D201" s="146" t="s">
        <v>545</v>
      </c>
      <c r="E201" s="254">
        <f>Таблица191014[[#This Row],[Грунт]]+Таблица191014[[#This Row],[Щебень]]+Таблица191014[[#This Row],[Асфальт]]+Таблица191014[[#This Row],[Бетон]]</f>
        <v>1</v>
      </c>
      <c r="F201" s="311">
        <v>1</v>
      </c>
      <c r="G201" s="140"/>
      <c r="H201" s="249"/>
      <c r="I201" s="139"/>
      <c r="J201" s="232"/>
      <c r="K201" s="234">
        <v>1</v>
      </c>
      <c r="N201" s="234" t="b">
        <f>OR(Таблица191014[[#This Row],[Щебень]]&gt;0,Таблица191014[[#This Row],[Асфальт]]&gt;0,Таблица191014[[#This Row],[Бетон]]&gt;0)</f>
        <v>0</v>
      </c>
      <c r="Q201" s="234">
        <v>197</v>
      </c>
      <c r="U201" s="285"/>
      <c r="V201" s="285">
        <f>Таблица191014[[#This Row],[Грунт]]+Таблица191014[[#This Row],[Щебень]]+Таблица191014[[#This Row],[Асфальт]]+Таблица191014[[#This Row],[Бетон]]</f>
        <v>1</v>
      </c>
      <c r="W201" s="285"/>
      <c r="X201" s="285"/>
      <c r="Y201" s="285"/>
      <c r="Z201" s="285"/>
      <c r="AG201" s="234">
        <v>93</v>
      </c>
    </row>
    <row r="202" spans="1:33" s="234" customFormat="1" x14ac:dyDescent="0.35">
      <c r="A202" s="146">
        <v>199</v>
      </c>
      <c r="B202" s="146" t="s">
        <v>377</v>
      </c>
      <c r="C202" s="146" t="s">
        <v>378</v>
      </c>
      <c r="D202" s="146" t="s">
        <v>546</v>
      </c>
      <c r="E202" s="254">
        <f>Таблица191014[[#This Row],[Грунт]]+Таблица191014[[#This Row],[Щебень]]+Таблица191014[[#This Row],[Асфальт]]+Таблица191014[[#This Row],[Бетон]]</f>
        <v>1.5</v>
      </c>
      <c r="F202" s="311">
        <v>1.3</v>
      </c>
      <c r="G202" s="140"/>
      <c r="H202" s="249">
        <v>0.2</v>
      </c>
      <c r="I202" s="139"/>
      <c r="J202" s="232"/>
      <c r="K202" s="234">
        <v>1</v>
      </c>
      <c r="N202" s="234" t="b">
        <f>OR(Таблица191014[[#This Row],[Щебень]]&gt;0,Таблица191014[[#This Row],[Асфальт]]&gt;0,Таблица191014[[#This Row],[Бетон]]&gt;0)</f>
        <v>1</v>
      </c>
      <c r="O202" s="234">
        <v>1</v>
      </c>
      <c r="Q202" s="234">
        <v>198</v>
      </c>
      <c r="U202" s="285"/>
      <c r="V202" s="285">
        <f>Таблица191014[[#This Row],[Грунт]]+Таблица191014[[#This Row],[Щебень]]+Таблица191014[[#This Row],[Асфальт]]+Таблица191014[[#This Row],[Бетон]]</f>
        <v>1.5</v>
      </c>
      <c r="W202" s="285"/>
      <c r="X202" s="285"/>
      <c r="Y202" s="285"/>
      <c r="Z202" s="285"/>
      <c r="AG202" s="234">
        <v>94</v>
      </c>
    </row>
    <row r="203" spans="1:33" s="234" customFormat="1" x14ac:dyDescent="0.35">
      <c r="A203" s="146">
        <v>200</v>
      </c>
      <c r="B203" s="146" t="s">
        <v>379</v>
      </c>
      <c r="C203" s="146" t="s">
        <v>380</v>
      </c>
      <c r="D203" s="146" t="s">
        <v>546</v>
      </c>
      <c r="E203" s="254">
        <f>Таблица191014[[#This Row],[Грунт]]+Таблица191014[[#This Row],[Щебень]]+Таблица191014[[#This Row],[Асфальт]]+Таблица191014[[#This Row],[Бетон]]</f>
        <v>2</v>
      </c>
      <c r="F203" s="311">
        <v>2</v>
      </c>
      <c r="G203" s="140"/>
      <c r="H203" s="249"/>
      <c r="I203" s="139"/>
      <c r="J203" s="232"/>
      <c r="K203" s="234">
        <v>1</v>
      </c>
      <c r="N203" s="234" t="b">
        <f>OR(Таблица191014[[#This Row],[Щебень]]&gt;0,Таблица191014[[#This Row],[Асфальт]]&gt;0,Таблица191014[[#This Row],[Бетон]]&gt;0)</f>
        <v>0</v>
      </c>
      <c r="O203" s="234">
        <f>H41+H46+H202</f>
        <v>8.6999999999999993</v>
      </c>
      <c r="Q203" s="234">
        <v>199</v>
      </c>
      <c r="U203" s="285"/>
      <c r="V203" s="285">
        <f>Таблица191014[[#This Row],[Грунт]]+Таблица191014[[#This Row],[Щебень]]+Таблица191014[[#This Row],[Асфальт]]+Таблица191014[[#This Row],[Бетон]]</f>
        <v>2</v>
      </c>
      <c r="W203" s="285"/>
      <c r="X203" s="285"/>
      <c r="Y203" s="285"/>
      <c r="Z203" s="285"/>
      <c r="AG203" s="234">
        <v>95</v>
      </c>
    </row>
    <row r="204" spans="1:33" s="234" customFormat="1" x14ac:dyDescent="0.35">
      <c r="A204" s="146">
        <v>201</v>
      </c>
      <c r="B204" s="146" t="s">
        <v>381</v>
      </c>
      <c r="C204" s="146" t="s">
        <v>382</v>
      </c>
      <c r="D204" s="146" t="s">
        <v>546</v>
      </c>
      <c r="E204" s="254">
        <f>Таблица191014[[#This Row],[Грунт]]+Таблица191014[[#This Row],[Щебень]]+Таблица191014[[#This Row],[Асфальт]]+Таблица191014[[#This Row],[Бетон]]</f>
        <v>2</v>
      </c>
      <c r="F204" s="311">
        <v>2</v>
      </c>
      <c r="G204" s="140"/>
      <c r="H204" s="249"/>
      <c r="I204" s="139"/>
      <c r="J204" s="232"/>
      <c r="K204" s="234">
        <v>1</v>
      </c>
      <c r="N204" s="234" t="b">
        <f>OR(Таблица191014[[#This Row],[Щебень]]&gt;0,Таблица191014[[#This Row],[Асфальт]]&gt;0,Таблица191014[[#This Row],[Бетон]]&gt;0)</f>
        <v>0</v>
      </c>
      <c r="Q204" s="234">
        <v>200</v>
      </c>
      <c r="U204" s="285"/>
      <c r="V204" s="285">
        <f>Таблица191014[[#This Row],[Грунт]]+Таблица191014[[#This Row],[Щебень]]+Таблица191014[[#This Row],[Асфальт]]+Таблица191014[[#This Row],[Бетон]]</f>
        <v>2</v>
      </c>
      <c r="W204" s="285"/>
      <c r="X204" s="285"/>
      <c r="Y204" s="285"/>
      <c r="Z204" s="285"/>
      <c r="AG204" s="234">
        <v>96</v>
      </c>
    </row>
    <row r="205" spans="1:33" s="234" customFormat="1" x14ac:dyDescent="0.35">
      <c r="A205" s="146">
        <v>202</v>
      </c>
      <c r="B205" s="146" t="s">
        <v>383</v>
      </c>
      <c r="C205" s="146" t="s">
        <v>384</v>
      </c>
      <c r="D205" s="146" t="s">
        <v>546</v>
      </c>
      <c r="E205" s="254">
        <f>Таблица191014[[#This Row],[Грунт]]+Таблица191014[[#This Row],[Щебень]]+Таблица191014[[#This Row],[Асфальт]]+Таблица191014[[#This Row],[Бетон]]</f>
        <v>1</v>
      </c>
      <c r="F205" s="311">
        <v>1</v>
      </c>
      <c r="G205" s="140"/>
      <c r="H205" s="249"/>
      <c r="I205" s="139"/>
      <c r="J205" s="232"/>
      <c r="K205" s="234">
        <v>1</v>
      </c>
      <c r="N205" s="234" t="b">
        <f>OR(Таблица191014[[#This Row],[Щебень]]&gt;0,Таблица191014[[#This Row],[Асфальт]]&gt;0,Таблица191014[[#This Row],[Бетон]]&gt;0)</f>
        <v>0</v>
      </c>
      <c r="Q205" s="234">
        <v>201</v>
      </c>
      <c r="U205" s="285"/>
      <c r="V205" s="285">
        <f>Таблица191014[[#This Row],[Грунт]]+Таблица191014[[#This Row],[Щебень]]+Таблица191014[[#This Row],[Асфальт]]+Таблица191014[[#This Row],[Бетон]]</f>
        <v>1</v>
      </c>
      <c r="W205" s="285"/>
      <c r="X205" s="285"/>
      <c r="Y205" s="285"/>
      <c r="Z205" s="285"/>
      <c r="AG205" s="234">
        <v>97</v>
      </c>
    </row>
    <row r="206" spans="1:33" s="234" customFormat="1" x14ac:dyDescent="0.35">
      <c r="A206" s="146">
        <v>203</v>
      </c>
      <c r="B206" s="146" t="s">
        <v>385</v>
      </c>
      <c r="C206" s="146" t="s">
        <v>386</v>
      </c>
      <c r="D206" s="146" t="s">
        <v>546</v>
      </c>
      <c r="E206" s="254">
        <f>Таблица191014[[#This Row],[Грунт]]+Таблица191014[[#This Row],[Щебень]]+Таблица191014[[#This Row],[Асфальт]]+Таблица191014[[#This Row],[Бетон]]</f>
        <v>3</v>
      </c>
      <c r="F206" s="311">
        <v>3</v>
      </c>
      <c r="G206" s="140"/>
      <c r="H206" s="249"/>
      <c r="I206" s="139"/>
      <c r="J206" s="232"/>
      <c r="K206" s="234">
        <v>1</v>
      </c>
      <c r="N206" s="234" t="b">
        <f>OR(Таблица191014[[#This Row],[Щебень]]&gt;0,Таблица191014[[#This Row],[Асфальт]]&gt;0,Таблица191014[[#This Row],[Бетон]]&gt;0)</f>
        <v>0</v>
      </c>
      <c r="Q206" s="234">
        <v>202</v>
      </c>
      <c r="U206" s="285"/>
      <c r="V206" s="285">
        <f>Таблица191014[[#This Row],[Грунт]]+Таблица191014[[#This Row],[Щебень]]+Таблица191014[[#This Row],[Асфальт]]+Таблица191014[[#This Row],[Бетон]]</f>
        <v>3</v>
      </c>
      <c r="W206" s="285"/>
      <c r="X206" s="285"/>
      <c r="Y206" s="285"/>
      <c r="Z206" s="285"/>
      <c r="AG206" s="234">
        <v>98</v>
      </c>
    </row>
    <row r="207" spans="1:33" s="234" customFormat="1" x14ac:dyDescent="0.35">
      <c r="A207" s="146">
        <v>204</v>
      </c>
      <c r="B207" s="146" t="s">
        <v>387</v>
      </c>
      <c r="C207" s="146" t="s">
        <v>388</v>
      </c>
      <c r="D207" s="146" t="s">
        <v>546</v>
      </c>
      <c r="E207" s="254">
        <f>Таблица191014[[#This Row],[Грунт]]+Таблица191014[[#This Row],[Щебень]]+Таблица191014[[#This Row],[Асфальт]]+Таблица191014[[#This Row],[Бетон]]</f>
        <v>1</v>
      </c>
      <c r="F207" s="311">
        <v>1</v>
      </c>
      <c r="G207" s="140"/>
      <c r="H207" s="249"/>
      <c r="I207" s="139"/>
      <c r="J207" s="232"/>
      <c r="K207" s="234">
        <v>1</v>
      </c>
      <c r="N207" s="234" t="b">
        <f>OR(Таблица191014[[#This Row],[Щебень]]&gt;0,Таблица191014[[#This Row],[Асфальт]]&gt;0,Таблица191014[[#This Row],[Бетон]]&gt;0)</f>
        <v>0</v>
      </c>
      <c r="Q207" s="234">
        <v>203</v>
      </c>
      <c r="U207" s="285"/>
      <c r="V207" s="285">
        <f>Таблица191014[[#This Row],[Грунт]]+Таблица191014[[#This Row],[Щебень]]+Таблица191014[[#This Row],[Асфальт]]+Таблица191014[[#This Row],[Бетон]]</f>
        <v>1</v>
      </c>
      <c r="W207" s="285"/>
      <c r="X207" s="285"/>
      <c r="Y207" s="285"/>
      <c r="Z207" s="285"/>
      <c r="AG207" s="234">
        <v>99</v>
      </c>
    </row>
    <row r="208" spans="1:33" s="234" customFormat="1" x14ac:dyDescent="0.35">
      <c r="A208" s="146">
        <v>205</v>
      </c>
      <c r="B208" s="146" t="s">
        <v>389</v>
      </c>
      <c r="C208" s="146" t="s">
        <v>390</v>
      </c>
      <c r="D208" s="146" t="s">
        <v>546</v>
      </c>
      <c r="E208" s="254">
        <f>Таблица191014[[#This Row],[Грунт]]+Таблица191014[[#This Row],[Щебень]]+Таблица191014[[#This Row],[Асфальт]]+Таблица191014[[#This Row],[Бетон]]</f>
        <v>1.5</v>
      </c>
      <c r="F208" s="311">
        <v>1.5</v>
      </c>
      <c r="G208" s="140"/>
      <c r="H208" s="249"/>
      <c r="I208" s="139"/>
      <c r="J208" s="232"/>
      <c r="K208" s="234">
        <v>1</v>
      </c>
      <c r="N208" s="234" t="b">
        <f>OR(Таблица191014[[#This Row],[Щебень]]&gt;0,Таблица191014[[#This Row],[Асфальт]]&gt;0,Таблица191014[[#This Row],[Бетон]]&gt;0)</f>
        <v>0</v>
      </c>
      <c r="Q208" s="234">
        <v>204</v>
      </c>
      <c r="U208" s="285"/>
      <c r="V208" s="285">
        <f>Таблица191014[[#This Row],[Грунт]]+Таблица191014[[#This Row],[Щебень]]+Таблица191014[[#This Row],[Асфальт]]+Таблица191014[[#This Row],[Бетон]]</f>
        <v>1.5</v>
      </c>
      <c r="W208" s="285"/>
      <c r="X208" s="285"/>
      <c r="Y208" s="285"/>
      <c r="Z208" s="285"/>
      <c r="AG208" s="234">
        <v>100</v>
      </c>
    </row>
    <row r="209" spans="1:33" s="234" customFormat="1" x14ac:dyDescent="0.35">
      <c r="A209" s="146">
        <v>206</v>
      </c>
      <c r="B209" s="146" t="s">
        <v>391</v>
      </c>
      <c r="C209" s="146" t="s">
        <v>392</v>
      </c>
      <c r="D209" s="146" t="s">
        <v>546</v>
      </c>
      <c r="E209" s="254">
        <f>Таблица191014[[#This Row],[Грунт]]+Таблица191014[[#This Row],[Щебень]]+Таблица191014[[#This Row],[Асфальт]]+Таблица191014[[#This Row],[Бетон]]</f>
        <v>1.5</v>
      </c>
      <c r="F209" s="311">
        <v>1.5</v>
      </c>
      <c r="G209" s="140"/>
      <c r="H209" s="249"/>
      <c r="I209" s="139"/>
      <c r="J209" s="232"/>
      <c r="K209" s="234">
        <v>1</v>
      </c>
      <c r="N209" s="234" t="b">
        <f>OR(Таблица191014[[#This Row],[Щебень]]&gt;0,Таблица191014[[#This Row],[Асфальт]]&gt;0,Таблица191014[[#This Row],[Бетон]]&gt;0)</f>
        <v>0</v>
      </c>
      <c r="Q209" s="234">
        <v>205</v>
      </c>
      <c r="U209" s="285"/>
      <c r="V209" s="285">
        <f>Таблица191014[[#This Row],[Грунт]]+Таблица191014[[#This Row],[Щебень]]+Таблица191014[[#This Row],[Асфальт]]+Таблица191014[[#This Row],[Бетон]]</f>
        <v>1.5</v>
      </c>
      <c r="W209" s="285"/>
      <c r="X209" s="285"/>
      <c r="Y209" s="285"/>
      <c r="Z209" s="285"/>
      <c r="AG209" s="234">
        <v>101</v>
      </c>
    </row>
    <row r="210" spans="1:33" s="234" customFormat="1" x14ac:dyDescent="0.35">
      <c r="A210" s="146">
        <v>207</v>
      </c>
      <c r="B210" s="146" t="s">
        <v>393</v>
      </c>
      <c r="C210" s="146" t="s">
        <v>394</v>
      </c>
      <c r="D210" s="146" t="s">
        <v>546</v>
      </c>
      <c r="E210" s="254">
        <f>Таблица191014[[#This Row],[Грунт]]+Таблица191014[[#This Row],[Щебень]]+Таблица191014[[#This Row],[Асфальт]]+Таблица191014[[#This Row],[Бетон]]</f>
        <v>1.5</v>
      </c>
      <c r="F210" s="311">
        <v>1.5</v>
      </c>
      <c r="G210" s="140"/>
      <c r="H210" s="249"/>
      <c r="I210" s="139"/>
      <c r="J210" s="232"/>
      <c r="K210" s="234">
        <v>1</v>
      </c>
      <c r="N210" s="234" t="b">
        <f>OR(Таблица191014[[#This Row],[Щебень]]&gt;0,Таблица191014[[#This Row],[Асфальт]]&gt;0,Таблица191014[[#This Row],[Бетон]]&gt;0)</f>
        <v>0</v>
      </c>
      <c r="Q210" s="234">
        <v>206</v>
      </c>
      <c r="U210" s="285"/>
      <c r="V210" s="285">
        <f>Таблица191014[[#This Row],[Грунт]]+Таблица191014[[#This Row],[Щебень]]+Таблица191014[[#This Row],[Асфальт]]+Таблица191014[[#This Row],[Бетон]]</f>
        <v>1.5</v>
      </c>
      <c r="W210" s="285"/>
      <c r="X210" s="285"/>
      <c r="Y210" s="285"/>
      <c r="Z210" s="285"/>
      <c r="AG210" s="234">
        <v>102</v>
      </c>
    </row>
    <row r="211" spans="1:33" s="234" customFormat="1" x14ac:dyDescent="0.35">
      <c r="A211" s="146">
        <v>208</v>
      </c>
      <c r="B211" s="146" t="s">
        <v>395</v>
      </c>
      <c r="C211" s="146" t="s">
        <v>396</v>
      </c>
      <c r="D211" s="146" t="s">
        <v>546</v>
      </c>
      <c r="E211" s="254">
        <f>Таблица191014[[#This Row],[Грунт]]+Таблица191014[[#This Row],[Щебень]]+Таблица191014[[#This Row],[Асфальт]]+Таблица191014[[#This Row],[Бетон]]</f>
        <v>1</v>
      </c>
      <c r="F211" s="311">
        <v>1</v>
      </c>
      <c r="G211" s="140"/>
      <c r="H211" s="249"/>
      <c r="I211" s="139"/>
      <c r="J211" s="232"/>
      <c r="K211" s="234">
        <v>1</v>
      </c>
      <c r="N211" s="234" t="b">
        <f>OR(Таблица191014[[#This Row],[Щебень]]&gt;0,Таблица191014[[#This Row],[Асфальт]]&gt;0,Таблица191014[[#This Row],[Бетон]]&gt;0)</f>
        <v>0</v>
      </c>
      <c r="Q211" s="234">
        <v>207</v>
      </c>
      <c r="U211" s="285"/>
      <c r="V211" s="285">
        <f>Таблица191014[[#This Row],[Грунт]]+Таблица191014[[#This Row],[Щебень]]+Таблица191014[[#This Row],[Асфальт]]+Таблица191014[[#This Row],[Бетон]]</f>
        <v>1</v>
      </c>
      <c r="W211" s="285"/>
      <c r="X211" s="285"/>
      <c r="Y211" s="285"/>
      <c r="Z211" s="285"/>
      <c r="AG211" s="234">
        <v>103</v>
      </c>
    </row>
    <row r="212" spans="1:33" s="234" customFormat="1" x14ac:dyDescent="0.35">
      <c r="A212" s="146">
        <v>209</v>
      </c>
      <c r="B212" s="146" t="s">
        <v>397</v>
      </c>
      <c r="C212" s="146" t="s">
        <v>398</v>
      </c>
      <c r="D212" s="146" t="s">
        <v>547</v>
      </c>
      <c r="E212" s="254">
        <f>Таблица191014[[#This Row],[Грунт]]+Таблица191014[[#This Row],[Щебень]]+Таблица191014[[#This Row],[Асфальт]]+Таблица191014[[#This Row],[Бетон]]</f>
        <v>5.085</v>
      </c>
      <c r="F212" s="311">
        <f>3-0.015</f>
        <v>2.9849999999999999</v>
      </c>
      <c r="G212" s="140">
        <v>0</v>
      </c>
      <c r="H212" s="249">
        <v>2.1</v>
      </c>
      <c r="I212" s="139"/>
      <c r="J212" s="232"/>
      <c r="K212" s="234" t="s">
        <v>557</v>
      </c>
      <c r="N212" s="234" t="b">
        <f>OR(Таблица191014[[#This Row],[Щебень]]&gt;0,Таблица191014[[#This Row],[Асфальт]]&gt;0,Таблица191014[[#This Row],[Бетон]]&gt;0)</f>
        <v>1</v>
      </c>
      <c r="O212" s="234">
        <v>1</v>
      </c>
      <c r="Q212" s="234">
        <v>208</v>
      </c>
      <c r="U212" s="285"/>
      <c r="V212" s="285">
        <f>Таблица191014[[#This Row],[Грунт]]+Таблица191014[[#This Row],[Щебень]]+Таблица191014[[#This Row],[Асфальт]]+Таблица191014[[#This Row],[Бетон]]</f>
        <v>5.085</v>
      </c>
      <c r="W212" s="285"/>
      <c r="X212" s="285"/>
      <c r="Y212" s="285"/>
      <c r="Z212" s="285"/>
      <c r="AG212" s="234">
        <v>104</v>
      </c>
    </row>
    <row r="213" spans="1:33" s="234" customFormat="1" x14ac:dyDescent="0.35">
      <c r="A213" s="146">
        <v>210</v>
      </c>
      <c r="B213" s="146" t="s">
        <v>399</v>
      </c>
      <c r="C213" s="146" t="s">
        <v>400</v>
      </c>
      <c r="D213" s="146" t="s">
        <v>547</v>
      </c>
      <c r="E213" s="254">
        <f>Таблица191014[[#This Row],[Грунт]]+Таблица191014[[#This Row],[Щебень]]+Таблица191014[[#This Row],[Асфальт]]+Таблица191014[[#This Row],[Бетон]]</f>
        <v>1.5</v>
      </c>
      <c r="F213" s="311"/>
      <c r="G213" s="140">
        <v>0.5</v>
      </c>
      <c r="H213" s="249">
        <v>1</v>
      </c>
      <c r="I213" s="139"/>
      <c r="J213" s="232"/>
      <c r="K213" s="234">
        <v>1</v>
      </c>
      <c r="N213" s="234" t="b">
        <f>OR(Таблица191014[[#This Row],[Щебень]]&gt;0,Таблица191014[[#This Row],[Асфальт]]&gt;0,Таблица191014[[#This Row],[Бетон]]&gt;0)</f>
        <v>1</v>
      </c>
      <c r="O213" s="234">
        <v>1</v>
      </c>
      <c r="Q213" s="234">
        <v>209</v>
      </c>
      <c r="U213" s="285"/>
      <c r="V213" s="285">
        <f>Таблица191014[[#This Row],[Грунт]]+Таблица191014[[#This Row],[Щебень]]+Таблица191014[[#This Row],[Асфальт]]+Таблица191014[[#This Row],[Бетон]]</f>
        <v>1.5</v>
      </c>
      <c r="W213" s="285"/>
      <c r="X213" s="285"/>
      <c r="Y213" s="285"/>
      <c r="Z213" s="285"/>
      <c r="AG213" s="234">
        <v>105</v>
      </c>
    </row>
    <row r="214" spans="1:33" s="234" customFormat="1" x14ac:dyDescent="0.35">
      <c r="A214" s="146">
        <v>211</v>
      </c>
      <c r="B214" s="146" t="s">
        <v>401</v>
      </c>
      <c r="C214" s="146" t="s">
        <v>402</v>
      </c>
      <c r="D214" s="146" t="s">
        <v>547</v>
      </c>
      <c r="E214" s="254">
        <f>Таблица191014[[#This Row],[Грунт]]+Таблица191014[[#This Row],[Щебень]]+Таблица191014[[#This Row],[Асфальт]]+Таблица191014[[#This Row],[Бетон]]</f>
        <v>0.5</v>
      </c>
      <c r="F214" s="311">
        <v>0.2</v>
      </c>
      <c r="G214" s="140"/>
      <c r="H214" s="249">
        <v>0.3</v>
      </c>
      <c r="I214" s="139"/>
      <c r="J214" s="232"/>
      <c r="K214" s="234">
        <v>1</v>
      </c>
      <c r="N214" s="234" t="b">
        <f>OR(Таблица191014[[#This Row],[Щебень]]&gt;0,Таблица191014[[#This Row],[Асфальт]]&gt;0,Таблица191014[[#This Row],[Бетон]]&gt;0)</f>
        <v>1</v>
      </c>
      <c r="O214" s="234">
        <v>1</v>
      </c>
      <c r="Q214" s="234">
        <v>210</v>
      </c>
      <c r="U214" s="285"/>
      <c r="V214" s="285">
        <f>Таблица191014[[#This Row],[Грунт]]+Таблица191014[[#This Row],[Щебень]]+Таблица191014[[#This Row],[Асфальт]]+Таблица191014[[#This Row],[Бетон]]</f>
        <v>0.5</v>
      </c>
      <c r="W214" s="285"/>
      <c r="X214" s="285"/>
      <c r="Y214" s="285"/>
      <c r="Z214" s="285"/>
      <c r="AG214" s="234">
        <v>106</v>
      </c>
    </row>
    <row r="215" spans="1:33" s="234" customFormat="1" x14ac:dyDescent="0.35">
      <c r="A215" s="146">
        <v>212</v>
      </c>
      <c r="B215" s="146" t="s">
        <v>403</v>
      </c>
      <c r="C215" s="146" t="s">
        <v>404</v>
      </c>
      <c r="D215" s="146" t="s">
        <v>547</v>
      </c>
      <c r="E215" s="254">
        <f>Таблица191014[[#This Row],[Грунт]]+Таблица191014[[#This Row],[Щебень]]+Таблица191014[[#This Row],[Асфальт]]+Таблица191014[[#This Row],[Бетон]]</f>
        <v>2.6</v>
      </c>
      <c r="F215" s="311">
        <v>1.6</v>
      </c>
      <c r="G215" s="140"/>
      <c r="H215" s="249">
        <v>1</v>
      </c>
      <c r="I215" s="139"/>
      <c r="J215" s="232"/>
      <c r="K215" s="234">
        <v>1</v>
      </c>
      <c r="N215" s="234" t="b">
        <f>OR(Таблица191014[[#This Row],[Щебень]]&gt;0,Таблица191014[[#This Row],[Асфальт]]&gt;0,Таблица191014[[#This Row],[Бетон]]&gt;0)</f>
        <v>1</v>
      </c>
      <c r="O215" s="234">
        <v>1</v>
      </c>
      <c r="Q215" s="234">
        <v>211</v>
      </c>
      <c r="U215" s="285"/>
      <c r="V215" s="285">
        <f>Таблица191014[[#This Row],[Грунт]]+Таблица191014[[#This Row],[Щебень]]+Таблица191014[[#This Row],[Асфальт]]+Таблица191014[[#This Row],[Бетон]]</f>
        <v>2.6</v>
      </c>
      <c r="W215" s="285"/>
      <c r="X215" s="285"/>
      <c r="Y215" s="285"/>
      <c r="Z215" s="285"/>
      <c r="AG215" s="234">
        <v>107</v>
      </c>
    </row>
    <row r="216" spans="1:33" s="234" customFormat="1" x14ac:dyDescent="0.35">
      <c r="A216" s="146">
        <v>213</v>
      </c>
      <c r="B216" s="146" t="s">
        <v>405</v>
      </c>
      <c r="C216" s="146" t="s">
        <v>406</v>
      </c>
      <c r="D216" s="146" t="s">
        <v>547</v>
      </c>
      <c r="E216" s="254">
        <f>Таблица191014[[#This Row],[Грунт]]+Таблица191014[[#This Row],[Щебень]]+Таблица191014[[#This Row],[Асфальт]]+Таблица191014[[#This Row],[Бетон]]</f>
        <v>0.6</v>
      </c>
      <c r="F216" s="311"/>
      <c r="G216" s="140">
        <v>0.6</v>
      </c>
      <c r="H216" s="249"/>
      <c r="I216" s="139"/>
      <c r="J216" s="232"/>
      <c r="K216" s="234">
        <v>1</v>
      </c>
      <c r="N216" s="234" t="b">
        <f>OR(Таблица191014[[#This Row],[Щебень]]&gt;0,Таблица191014[[#This Row],[Асфальт]]&gt;0,Таблица191014[[#This Row],[Бетон]]&gt;0)</f>
        <v>1</v>
      </c>
      <c r="O216" s="234">
        <v>1</v>
      </c>
      <c r="Q216" s="234">
        <v>212</v>
      </c>
      <c r="U216" s="285"/>
      <c r="V216" s="285">
        <f>Таблица191014[[#This Row],[Грунт]]+Таблица191014[[#This Row],[Щебень]]+Таблица191014[[#This Row],[Асфальт]]+Таблица191014[[#This Row],[Бетон]]</f>
        <v>0.6</v>
      </c>
      <c r="W216" s="285"/>
      <c r="X216" s="285"/>
      <c r="Y216" s="285"/>
      <c r="Z216" s="285"/>
      <c r="AG216" s="234">
        <v>108</v>
      </c>
    </row>
    <row r="217" spans="1:33" s="234" customFormat="1" x14ac:dyDescent="0.35">
      <c r="A217" s="146">
        <v>214</v>
      </c>
      <c r="B217" s="146" t="s">
        <v>407</v>
      </c>
      <c r="C217" s="146" t="s">
        <v>408</v>
      </c>
      <c r="D217" s="146" t="s">
        <v>547</v>
      </c>
      <c r="E217" s="254">
        <f>Таблица191014[[#This Row],[Грунт]]+Таблица191014[[#This Row],[Щебень]]+Таблица191014[[#This Row],[Асфальт]]+Таблица191014[[#This Row],[Бетон]]</f>
        <v>0.7</v>
      </c>
      <c r="F217" s="311">
        <v>0.7</v>
      </c>
      <c r="G217" s="140"/>
      <c r="H217" s="249"/>
      <c r="I217" s="139"/>
      <c r="J217" s="232"/>
      <c r="K217" s="234">
        <v>1</v>
      </c>
      <c r="N217" s="234" t="b">
        <f>OR(Таблица191014[[#This Row],[Щебень]]&gt;0,Таблица191014[[#This Row],[Асфальт]]&gt;0,Таблица191014[[#This Row],[Бетон]]&gt;0)</f>
        <v>0</v>
      </c>
      <c r="Q217" s="234">
        <v>213</v>
      </c>
      <c r="U217" s="285"/>
      <c r="V217" s="285">
        <f>Таблица191014[[#This Row],[Грунт]]+Таблица191014[[#This Row],[Щебень]]+Таблица191014[[#This Row],[Асфальт]]+Таблица191014[[#This Row],[Бетон]]</f>
        <v>0.7</v>
      </c>
      <c r="W217" s="285"/>
      <c r="X217" s="285"/>
      <c r="Y217" s="285"/>
      <c r="Z217" s="285"/>
      <c r="AG217" s="234">
        <v>109</v>
      </c>
    </row>
    <row r="218" spans="1:33" s="234" customFormat="1" x14ac:dyDescent="0.35">
      <c r="A218" s="146">
        <v>215</v>
      </c>
      <c r="B218" s="146" t="s">
        <v>409</v>
      </c>
      <c r="C218" s="146" t="s">
        <v>410</v>
      </c>
      <c r="D218" s="146" t="s">
        <v>547</v>
      </c>
      <c r="E218" s="254">
        <f>Таблица191014[[#This Row],[Грунт]]+Таблица191014[[#This Row],[Щебень]]+Таблица191014[[#This Row],[Асфальт]]+Таблица191014[[#This Row],[Бетон]]</f>
        <v>1</v>
      </c>
      <c r="F218" s="311">
        <v>0.5</v>
      </c>
      <c r="G218" s="140">
        <v>0.5</v>
      </c>
      <c r="H218" s="249"/>
      <c r="I218" s="139"/>
      <c r="J218" s="232"/>
      <c r="K218" s="234">
        <v>1</v>
      </c>
      <c r="N218" s="234" t="b">
        <f>OR(Таблица191014[[#This Row],[Щебень]]&gt;0,Таблица191014[[#This Row],[Асфальт]]&gt;0,Таблица191014[[#This Row],[Бетон]]&gt;0)</f>
        <v>1</v>
      </c>
      <c r="O218" s="234">
        <v>1</v>
      </c>
      <c r="Q218" s="234">
        <v>214</v>
      </c>
      <c r="U218" s="285"/>
      <c r="V218" s="285">
        <f>Таблица191014[[#This Row],[Грунт]]+Таблица191014[[#This Row],[Щебень]]+Таблица191014[[#This Row],[Асфальт]]+Таблица191014[[#This Row],[Бетон]]</f>
        <v>1</v>
      </c>
      <c r="W218" s="285"/>
      <c r="X218" s="285"/>
      <c r="Y218" s="285"/>
      <c r="Z218" s="285"/>
      <c r="AG218" s="234">
        <v>110</v>
      </c>
    </row>
    <row r="219" spans="1:33" s="234" customFormat="1" ht="46.5" x14ac:dyDescent="0.35">
      <c r="A219" s="146">
        <v>216</v>
      </c>
      <c r="B219" s="146" t="s">
        <v>411</v>
      </c>
      <c r="C219" s="146" t="s">
        <v>412</v>
      </c>
      <c r="D219" s="146" t="s">
        <v>548</v>
      </c>
      <c r="E219" s="254">
        <f>Таблица191014[[#This Row],[Грунт]]+Таблица191014[[#This Row],[Щебень]]+Таблица191014[[#This Row],[Асфальт]]+Таблица191014[[#This Row],[Бетон]]</f>
        <v>4.9000000000000004</v>
      </c>
      <c r="F219" s="311">
        <v>0.3</v>
      </c>
      <c r="G219" s="140">
        <v>1.3</v>
      </c>
      <c r="H219" s="249">
        <v>3.3</v>
      </c>
      <c r="I219" s="139"/>
      <c r="J219" s="232"/>
      <c r="K219" s="234" t="s">
        <v>557</v>
      </c>
      <c r="N219" s="234" t="b">
        <f>OR(Таблица191014[[#This Row],[Щебень]]&gt;0,Таблица191014[[#This Row],[Асфальт]]&gt;0,Таблица191014[[#This Row],[Бетон]]&gt;0)</f>
        <v>1</v>
      </c>
      <c r="O219" s="234">
        <v>1</v>
      </c>
      <c r="Q219" s="234">
        <v>215</v>
      </c>
      <c r="U219" s="285"/>
      <c r="V219" s="285">
        <f>Таблица191014[[#This Row],[Грунт]]+Таблица191014[[#This Row],[Щебень]]+Таблица191014[[#This Row],[Асфальт]]+Таблица191014[[#This Row],[Бетон]]</f>
        <v>4.9000000000000004</v>
      </c>
      <c r="W219" s="285"/>
      <c r="X219" s="285"/>
      <c r="Y219" s="285"/>
      <c r="Z219" s="285"/>
      <c r="AG219" s="234">
        <v>111</v>
      </c>
    </row>
    <row r="220" spans="1:33" s="234" customFormat="1" ht="46.5" x14ac:dyDescent="0.35">
      <c r="A220" s="146">
        <v>217</v>
      </c>
      <c r="B220" s="146" t="s">
        <v>413</v>
      </c>
      <c r="C220" s="146" t="s">
        <v>414</v>
      </c>
      <c r="D220" s="146" t="s">
        <v>548</v>
      </c>
      <c r="E220" s="254">
        <f>Таблица191014[[#This Row],[Грунт]]+Таблица191014[[#This Row],[Щебень]]+Таблица191014[[#This Row],[Асфальт]]+Таблица191014[[#This Row],[Бетон]]</f>
        <v>1.0029999999999999</v>
      </c>
      <c r="F220" s="311">
        <v>0.16500000000000001</v>
      </c>
      <c r="G220" s="140"/>
      <c r="H220" s="249">
        <v>0.83799999999999997</v>
      </c>
      <c r="I220" s="139"/>
      <c r="J220" s="232"/>
      <c r="K220" s="234" t="s">
        <v>558</v>
      </c>
      <c r="N220" s="234" t="b">
        <f>OR(Таблица191014[[#This Row],[Щебень]]&gt;0,Таблица191014[[#This Row],[Асфальт]]&gt;0,Таблица191014[[#This Row],[Бетон]]&gt;0)</f>
        <v>1</v>
      </c>
      <c r="O220" s="234">
        <v>1</v>
      </c>
      <c r="Q220" s="234">
        <v>216</v>
      </c>
      <c r="U220" s="285"/>
      <c r="V220" s="285">
        <f>Таблица191014[[#This Row],[Грунт]]+Таблица191014[[#This Row],[Щебень]]+Таблица191014[[#This Row],[Асфальт]]+Таблица191014[[#This Row],[Бетон]]</f>
        <v>1.0029999999999999</v>
      </c>
      <c r="W220" s="285"/>
      <c r="X220" s="285"/>
      <c r="Y220" s="285"/>
      <c r="Z220" s="285"/>
      <c r="AG220" s="234">
        <v>112</v>
      </c>
    </row>
    <row r="221" spans="1:33" s="234" customFormat="1" ht="46.5" x14ac:dyDescent="0.35">
      <c r="A221" s="146">
        <v>218</v>
      </c>
      <c r="B221" s="146" t="s">
        <v>415</v>
      </c>
      <c r="C221" s="146" t="s">
        <v>416</v>
      </c>
      <c r="D221" s="146" t="s">
        <v>548</v>
      </c>
      <c r="E221" s="254">
        <f>Таблица191014[[#This Row],[Грунт]]+Таблица191014[[#This Row],[Щебень]]+Таблица191014[[#This Row],[Асфальт]]+Таблица191014[[#This Row],[Бетон]]</f>
        <v>1.7000000000000002</v>
      </c>
      <c r="F221" s="311">
        <v>1.3</v>
      </c>
      <c r="G221" s="140">
        <v>0.4</v>
      </c>
      <c r="H221" s="249"/>
      <c r="I221" s="139"/>
      <c r="J221" s="232"/>
      <c r="K221" s="234">
        <v>1</v>
      </c>
      <c r="N221" s="234" t="b">
        <f>OR(Таблица191014[[#This Row],[Щебень]]&gt;0,Таблица191014[[#This Row],[Асфальт]]&gt;0,Таблица191014[[#This Row],[Бетон]]&gt;0)</f>
        <v>1</v>
      </c>
      <c r="O221" s="234">
        <v>1</v>
      </c>
      <c r="Q221" s="234">
        <v>217</v>
      </c>
      <c r="U221" s="285"/>
      <c r="V221" s="285">
        <f>Таблица191014[[#This Row],[Грунт]]+Таблица191014[[#This Row],[Щебень]]+Таблица191014[[#This Row],[Асфальт]]+Таблица191014[[#This Row],[Бетон]]</f>
        <v>1.7000000000000002</v>
      </c>
      <c r="W221" s="285"/>
      <c r="X221" s="285"/>
      <c r="Y221" s="285"/>
      <c r="Z221" s="285"/>
      <c r="AG221" s="234">
        <v>113</v>
      </c>
    </row>
    <row r="222" spans="1:33" s="234" customFormat="1" ht="46.5" x14ac:dyDescent="0.35">
      <c r="A222" s="146">
        <v>219</v>
      </c>
      <c r="B222" s="146" t="s">
        <v>417</v>
      </c>
      <c r="C222" s="146" t="s">
        <v>418</v>
      </c>
      <c r="D222" s="146" t="s">
        <v>548</v>
      </c>
      <c r="E222" s="254">
        <f>Таблица191014[[#This Row],[Грунт]]+Таблица191014[[#This Row],[Щебень]]+Таблица191014[[#This Row],[Асфальт]]+Таблица191014[[#This Row],[Бетон]]</f>
        <v>0.5</v>
      </c>
      <c r="F222" s="311">
        <v>0.5</v>
      </c>
      <c r="G222" s="140"/>
      <c r="H222" s="249"/>
      <c r="I222" s="139"/>
      <c r="J222" s="232"/>
      <c r="K222" s="234">
        <v>1</v>
      </c>
      <c r="N222" s="234" t="b">
        <f>OR(Таблица191014[[#This Row],[Щебень]]&gt;0,Таблица191014[[#This Row],[Асфальт]]&gt;0,Таблица191014[[#This Row],[Бетон]]&gt;0)</f>
        <v>0</v>
      </c>
      <c r="Q222" s="234">
        <v>218</v>
      </c>
      <c r="U222" s="285"/>
      <c r="V222" s="285">
        <f>Таблица191014[[#This Row],[Грунт]]+Таблица191014[[#This Row],[Щебень]]+Таблица191014[[#This Row],[Асфальт]]+Таблица191014[[#This Row],[Бетон]]</f>
        <v>0.5</v>
      </c>
      <c r="W222" s="285"/>
      <c r="X222" s="285"/>
      <c r="Y222" s="285"/>
      <c r="Z222" s="285"/>
      <c r="AG222" s="234">
        <v>114</v>
      </c>
    </row>
    <row r="223" spans="1:33" s="234" customFormat="1" ht="46.5" x14ac:dyDescent="0.35">
      <c r="A223" s="146">
        <v>220</v>
      </c>
      <c r="B223" s="146" t="s">
        <v>419</v>
      </c>
      <c r="C223" s="146" t="s">
        <v>420</v>
      </c>
      <c r="D223" s="146" t="s">
        <v>548</v>
      </c>
      <c r="E223" s="254">
        <f>Таблица191014[[#This Row],[Грунт]]+Таблица191014[[#This Row],[Щебень]]+Таблица191014[[#This Row],[Асфальт]]+Таблица191014[[#This Row],[Бетон]]</f>
        <v>0.7</v>
      </c>
      <c r="F223" s="311">
        <v>0.7</v>
      </c>
      <c r="G223" s="140"/>
      <c r="H223" s="249"/>
      <c r="I223" s="139"/>
      <c r="J223" s="232"/>
      <c r="K223" s="234">
        <v>1</v>
      </c>
      <c r="N223" s="234" t="b">
        <f>OR(Таблица191014[[#This Row],[Щебень]]&gt;0,Таблица191014[[#This Row],[Асфальт]]&gt;0,Таблица191014[[#This Row],[Бетон]]&gt;0)</f>
        <v>0</v>
      </c>
      <c r="Q223" s="234">
        <v>219</v>
      </c>
      <c r="U223" s="285"/>
      <c r="V223" s="285">
        <f>Таблица191014[[#This Row],[Грунт]]+Таблица191014[[#This Row],[Щебень]]+Таблица191014[[#This Row],[Асфальт]]+Таблица191014[[#This Row],[Бетон]]</f>
        <v>0.7</v>
      </c>
      <c r="W223" s="285"/>
      <c r="X223" s="285"/>
      <c r="Y223" s="285"/>
      <c r="Z223" s="285"/>
      <c r="AG223" s="234">
        <v>115</v>
      </c>
    </row>
    <row r="224" spans="1:33" s="234" customFormat="1" ht="46.5" x14ac:dyDescent="0.35">
      <c r="A224" s="146">
        <v>221</v>
      </c>
      <c r="B224" s="146" t="s">
        <v>421</v>
      </c>
      <c r="C224" s="146" t="s">
        <v>422</v>
      </c>
      <c r="D224" s="146" t="s">
        <v>548</v>
      </c>
      <c r="E224" s="254">
        <f>Таблица191014[[#This Row],[Грунт]]+Таблица191014[[#This Row],[Щебень]]+Таблица191014[[#This Row],[Асфальт]]+Таблица191014[[#This Row],[Бетон]]</f>
        <v>0.2</v>
      </c>
      <c r="F224" s="311"/>
      <c r="G224" s="140">
        <v>0.2</v>
      </c>
      <c r="H224" s="249"/>
      <c r="I224" s="139"/>
      <c r="J224" s="232"/>
      <c r="K224" s="234">
        <v>1</v>
      </c>
      <c r="N224" s="234" t="b">
        <f>OR(Таблица191014[[#This Row],[Щебень]]&gt;0,Таблица191014[[#This Row],[Асфальт]]&gt;0,Таблица191014[[#This Row],[Бетон]]&gt;0)</f>
        <v>1</v>
      </c>
      <c r="O224" s="234">
        <v>1</v>
      </c>
      <c r="Q224" s="234">
        <v>220</v>
      </c>
      <c r="U224" s="285"/>
      <c r="V224" s="285">
        <f>Таблица191014[[#This Row],[Грунт]]+Таблица191014[[#This Row],[Щебень]]+Таблица191014[[#This Row],[Асфальт]]+Таблица191014[[#This Row],[Бетон]]</f>
        <v>0.2</v>
      </c>
      <c r="W224" s="285"/>
      <c r="X224" s="285"/>
      <c r="Y224" s="285"/>
      <c r="Z224" s="285"/>
      <c r="AG224" s="234">
        <v>116</v>
      </c>
    </row>
    <row r="225" spans="1:33" s="234" customFormat="1" ht="46.5" x14ac:dyDescent="0.35">
      <c r="A225" s="146">
        <v>222</v>
      </c>
      <c r="B225" s="146" t="s">
        <v>423</v>
      </c>
      <c r="C225" s="146" t="s">
        <v>424</v>
      </c>
      <c r="D225" s="146" t="s">
        <v>548</v>
      </c>
      <c r="E225" s="254">
        <f>Таблица191014[[#This Row],[Грунт]]+Таблица191014[[#This Row],[Щебень]]+Таблица191014[[#This Row],[Асфальт]]+Таблица191014[[#This Row],[Бетон]]</f>
        <v>0.4</v>
      </c>
      <c r="F225" s="311">
        <v>0.4</v>
      </c>
      <c r="G225" s="140"/>
      <c r="H225" s="249"/>
      <c r="I225" s="139"/>
      <c r="J225" s="232"/>
      <c r="K225" s="234">
        <v>1</v>
      </c>
      <c r="N225" s="234" t="b">
        <f>OR(Таблица191014[[#This Row],[Щебень]]&gt;0,Таблица191014[[#This Row],[Асфальт]]&gt;0,Таблица191014[[#This Row],[Бетон]]&gt;0)</f>
        <v>0</v>
      </c>
      <c r="Q225" s="234">
        <v>221</v>
      </c>
      <c r="U225" s="285"/>
      <c r="V225" s="285">
        <f>Таблица191014[[#This Row],[Грунт]]+Таблица191014[[#This Row],[Щебень]]+Таблица191014[[#This Row],[Асфальт]]+Таблица191014[[#This Row],[Бетон]]</f>
        <v>0.4</v>
      </c>
      <c r="W225" s="285"/>
      <c r="X225" s="285"/>
      <c r="Y225" s="285"/>
      <c r="Z225" s="285"/>
      <c r="AG225" s="234">
        <v>117</v>
      </c>
    </row>
    <row r="226" spans="1:33" s="234" customFormat="1" ht="46.5" x14ac:dyDescent="0.35">
      <c r="A226" s="146">
        <v>223</v>
      </c>
      <c r="B226" s="146" t="s">
        <v>425</v>
      </c>
      <c r="C226" s="146" t="s">
        <v>426</v>
      </c>
      <c r="D226" s="146" t="s">
        <v>548</v>
      </c>
      <c r="E226" s="254">
        <f>Таблица191014[[#This Row],[Грунт]]+Таблица191014[[#This Row],[Щебень]]+Таблица191014[[#This Row],[Асфальт]]+Таблица191014[[#This Row],[Бетон]]</f>
        <v>9.5</v>
      </c>
      <c r="F226" s="311">
        <v>7.9</v>
      </c>
      <c r="G226" s="140"/>
      <c r="H226" s="249">
        <v>1.6</v>
      </c>
      <c r="I226" s="139"/>
      <c r="J226" s="232"/>
      <c r="K226" s="234">
        <v>1</v>
      </c>
      <c r="N226" s="234" t="b">
        <f>OR(Таблица191014[[#This Row],[Щебень]]&gt;0,Таблица191014[[#This Row],[Асфальт]]&gt;0,Таблица191014[[#This Row],[Бетон]]&gt;0)</f>
        <v>1</v>
      </c>
      <c r="O226" s="234">
        <v>1</v>
      </c>
      <c r="Q226" s="234">
        <v>222</v>
      </c>
      <c r="S226" s="234">
        <f>Таблица191014[[#This Row],[Протяженность(км)]]-9.5</f>
        <v>0</v>
      </c>
      <c r="T226" s="234">
        <f>9.5-Таблица191014[[#This Row],[Протяженность(км)]]</f>
        <v>0</v>
      </c>
      <c r="U226" s="285"/>
      <c r="V226" s="285">
        <f>Таблица191014[[#This Row],[Грунт]]+Таблица191014[[#This Row],[Щебень]]+Таблица191014[[#This Row],[Асфальт]]+Таблица191014[[#This Row],[Бетон]]</f>
        <v>9.5</v>
      </c>
      <c r="W226" s="285"/>
      <c r="X226" s="285"/>
      <c r="Y226" s="285"/>
      <c r="Z226" s="285"/>
      <c r="AG226" s="234">
        <v>118</v>
      </c>
    </row>
    <row r="227" spans="1:33" s="234" customFormat="1" ht="46.5" x14ac:dyDescent="0.35">
      <c r="A227" s="146">
        <v>224</v>
      </c>
      <c r="B227" s="146" t="s">
        <v>427</v>
      </c>
      <c r="C227" s="146" t="s">
        <v>428</v>
      </c>
      <c r="D227" s="146" t="s">
        <v>548</v>
      </c>
      <c r="E227" s="254">
        <f>Таблица191014[[#This Row],[Грунт]]+Таблица191014[[#This Row],[Щебень]]+Таблица191014[[#This Row],[Асфальт]]+Таблица191014[[#This Row],[Бетон]]</f>
        <v>0.9</v>
      </c>
      <c r="F227" s="311">
        <v>0.9</v>
      </c>
      <c r="G227" s="140">
        <v>0</v>
      </c>
      <c r="H227" s="249"/>
      <c r="I227" s="139"/>
      <c r="J227" s="232"/>
      <c r="K227" s="234">
        <v>1</v>
      </c>
      <c r="N227" s="234" t="b">
        <f>OR(Таблица191014[[#This Row],[Щебень]]&gt;0,Таблица191014[[#This Row],[Асфальт]]&gt;0,Таблица191014[[#This Row],[Бетон]]&gt;0)</f>
        <v>0</v>
      </c>
      <c r="O227" s="234">
        <v>1</v>
      </c>
      <c r="Q227" s="234">
        <v>223</v>
      </c>
      <c r="U227" s="285"/>
      <c r="V227" s="285">
        <f>Таблица191014[[#This Row],[Грунт]]+Таблица191014[[#This Row],[Щебень]]+Таблица191014[[#This Row],[Асфальт]]+Таблица191014[[#This Row],[Бетон]]</f>
        <v>0.9</v>
      </c>
      <c r="W227" s="285"/>
      <c r="X227" s="285"/>
      <c r="Y227" s="285"/>
      <c r="Z227" s="285"/>
      <c r="AG227" s="234">
        <v>119</v>
      </c>
    </row>
    <row r="228" spans="1:33" s="234" customFormat="1" ht="46.5" x14ac:dyDescent="0.35">
      <c r="A228" s="146">
        <v>225</v>
      </c>
      <c r="B228" s="146" t="s">
        <v>429</v>
      </c>
      <c r="C228" s="146" t="s">
        <v>430</v>
      </c>
      <c r="D228" s="146" t="s">
        <v>548</v>
      </c>
      <c r="E228" s="254">
        <f>Таблица191014[[#This Row],[Грунт]]+Таблица191014[[#This Row],[Щебень]]+Таблица191014[[#This Row],[Асфальт]]+Таблица191014[[#This Row],[Бетон]]</f>
        <v>0.3</v>
      </c>
      <c r="F228" s="311"/>
      <c r="G228" s="140"/>
      <c r="H228" s="249">
        <v>0.3</v>
      </c>
      <c r="I228" s="139"/>
      <c r="J228" s="232"/>
      <c r="K228" s="234">
        <v>1</v>
      </c>
      <c r="N228" s="234" t="b">
        <f>OR(Таблица191014[[#This Row],[Щебень]]&gt;0,Таблица191014[[#This Row],[Асфальт]]&gt;0,Таблица191014[[#This Row],[Бетон]]&gt;0)</f>
        <v>1</v>
      </c>
      <c r="O228" s="234">
        <v>1</v>
      </c>
      <c r="Q228" s="234">
        <v>224</v>
      </c>
      <c r="U228" s="285"/>
      <c r="V228" s="285">
        <f>Таблица191014[[#This Row],[Грунт]]+Таблица191014[[#This Row],[Щебень]]+Таблица191014[[#This Row],[Асфальт]]+Таблица191014[[#This Row],[Бетон]]</f>
        <v>0.3</v>
      </c>
      <c r="W228" s="285"/>
      <c r="X228" s="285"/>
      <c r="Y228" s="285"/>
      <c r="Z228" s="285"/>
      <c r="AG228" s="234">
        <v>120</v>
      </c>
    </row>
    <row r="229" spans="1:33" s="234" customFormat="1" ht="46.5" x14ac:dyDescent="0.35">
      <c r="A229" s="146">
        <v>226</v>
      </c>
      <c r="B229" s="146" t="s">
        <v>431</v>
      </c>
      <c r="C229" s="146" t="s">
        <v>432</v>
      </c>
      <c r="D229" s="146" t="s">
        <v>548</v>
      </c>
      <c r="E229" s="254">
        <f>Таблица191014[[#This Row],[Грунт]]+Таблица191014[[#This Row],[Щебень]]+Таблица191014[[#This Row],[Асфальт]]+Таблица191014[[#This Row],[Бетон]]</f>
        <v>0.5</v>
      </c>
      <c r="F229" s="311">
        <v>0.5</v>
      </c>
      <c r="G229" s="140"/>
      <c r="H229" s="249"/>
      <c r="I229" s="139"/>
      <c r="J229" s="232"/>
      <c r="K229" s="234">
        <v>1</v>
      </c>
      <c r="N229" s="234" t="b">
        <f>OR(Таблица191014[[#This Row],[Щебень]]&gt;0,Таблица191014[[#This Row],[Асфальт]]&gt;0,Таблица191014[[#This Row],[Бетон]]&gt;0)</f>
        <v>0</v>
      </c>
      <c r="Q229" s="234">
        <v>225</v>
      </c>
      <c r="U229" s="285"/>
      <c r="V229" s="285">
        <f>Таблица191014[[#This Row],[Грунт]]+Таблица191014[[#This Row],[Щебень]]+Таблица191014[[#This Row],[Асфальт]]+Таблица191014[[#This Row],[Бетон]]</f>
        <v>0.5</v>
      </c>
      <c r="W229" s="285"/>
      <c r="X229" s="285"/>
      <c r="Y229" s="285"/>
      <c r="Z229" s="285"/>
      <c r="AG229" s="234">
        <v>121</v>
      </c>
    </row>
    <row r="230" spans="1:33" s="234" customFormat="1" x14ac:dyDescent="0.35">
      <c r="A230" s="146">
        <v>227</v>
      </c>
      <c r="B230" s="146" t="s">
        <v>433</v>
      </c>
      <c r="C230" s="146" t="s">
        <v>434</v>
      </c>
      <c r="D230" s="146" t="s">
        <v>549</v>
      </c>
      <c r="E230" s="254">
        <f>Таблица191014[[#This Row],[Грунт]]+Таблица191014[[#This Row],[Щебень]]+Таблица191014[[#This Row],[Асфальт]]+Таблица191014[[#This Row],[Бетон]]</f>
        <v>7.3609999999999998</v>
      </c>
      <c r="F230" s="311">
        <v>0.86099999999999999</v>
      </c>
      <c r="G230" s="140"/>
      <c r="H230" s="249">
        <v>6.5</v>
      </c>
      <c r="I230" s="139"/>
      <c r="J230" s="232"/>
      <c r="K230" s="234" t="s">
        <v>557</v>
      </c>
      <c r="N230" s="234" t="b">
        <f>OR(Таблица191014[[#This Row],[Щебень]]&gt;0,Таблица191014[[#This Row],[Асфальт]]&gt;0,Таблица191014[[#This Row],[Бетон]]&gt;0)</f>
        <v>1</v>
      </c>
      <c r="O230" s="234">
        <v>1</v>
      </c>
      <c r="Q230" s="234">
        <v>226</v>
      </c>
      <c r="U230" s="285"/>
      <c r="V230" s="285">
        <f>Таблица191014[[#This Row],[Грунт]]+Таблица191014[[#This Row],[Щебень]]+Таблица191014[[#This Row],[Асфальт]]+Таблица191014[[#This Row],[Бетон]]</f>
        <v>7.3609999999999998</v>
      </c>
      <c r="W230" s="285"/>
      <c r="X230" s="285"/>
      <c r="Y230" s="285"/>
      <c r="Z230" s="285"/>
      <c r="AG230" s="234">
        <v>122</v>
      </c>
    </row>
    <row r="231" spans="1:33" s="234" customFormat="1" x14ac:dyDescent="0.35">
      <c r="A231" s="146">
        <v>228</v>
      </c>
      <c r="B231" s="146" t="s">
        <v>435</v>
      </c>
      <c r="C231" s="146" t="s">
        <v>436</v>
      </c>
      <c r="D231" s="146" t="s">
        <v>549</v>
      </c>
      <c r="E231" s="254">
        <f>Таблица191014[[#This Row],[Грунт]]+Таблица191014[[#This Row],[Щебень]]+Таблица191014[[#This Row],[Асфальт]]+Таблица191014[[#This Row],[Бетон]]</f>
        <v>2</v>
      </c>
      <c r="F231" s="311">
        <v>2</v>
      </c>
      <c r="G231" s="140"/>
      <c r="H231" s="249"/>
      <c r="I231" s="139"/>
      <c r="J231" s="232"/>
      <c r="K231" s="234">
        <v>1</v>
      </c>
      <c r="N231" s="234" t="b">
        <f>OR(Таблица191014[[#This Row],[Щебень]]&gt;0,Таблица191014[[#This Row],[Асфальт]]&gt;0,Таблица191014[[#This Row],[Бетон]]&gt;0)</f>
        <v>0</v>
      </c>
      <c r="Q231" s="234">
        <v>227</v>
      </c>
      <c r="U231" s="285"/>
      <c r="V231" s="285">
        <f>Таблица191014[[#This Row],[Грунт]]+Таблица191014[[#This Row],[Щебень]]+Таблица191014[[#This Row],[Асфальт]]+Таблица191014[[#This Row],[Бетон]]</f>
        <v>2</v>
      </c>
      <c r="W231" s="285"/>
      <c r="X231" s="285"/>
      <c r="Y231" s="285"/>
      <c r="Z231" s="285"/>
      <c r="AG231" s="234">
        <v>123</v>
      </c>
    </row>
    <row r="232" spans="1:33" s="234" customFormat="1" x14ac:dyDescent="0.35">
      <c r="A232" s="146">
        <v>229</v>
      </c>
      <c r="B232" s="146" t="s">
        <v>437</v>
      </c>
      <c r="C232" s="146" t="s">
        <v>438</v>
      </c>
      <c r="D232" s="146" t="s">
        <v>549</v>
      </c>
      <c r="E232" s="254">
        <f>Таблица191014[[#This Row],[Грунт]]+Таблица191014[[#This Row],[Щебень]]+Таблица191014[[#This Row],[Асфальт]]+Таблица191014[[#This Row],[Бетон]]</f>
        <v>1</v>
      </c>
      <c r="F232" s="311">
        <v>1</v>
      </c>
      <c r="G232" s="140"/>
      <c r="H232" s="249"/>
      <c r="I232" s="139"/>
      <c r="J232" s="232"/>
      <c r="K232" s="234">
        <v>1</v>
      </c>
      <c r="N232" s="234" t="b">
        <f>OR(Таблица191014[[#This Row],[Щебень]]&gt;0,Таблица191014[[#This Row],[Асфальт]]&gt;0,Таблица191014[[#This Row],[Бетон]]&gt;0)</f>
        <v>0</v>
      </c>
      <c r="Q232" s="234">
        <v>228</v>
      </c>
      <c r="U232" s="285"/>
      <c r="V232" s="285">
        <f>Таблица191014[[#This Row],[Грунт]]+Таблица191014[[#This Row],[Щебень]]+Таблица191014[[#This Row],[Асфальт]]+Таблица191014[[#This Row],[Бетон]]</f>
        <v>1</v>
      </c>
      <c r="W232" s="285"/>
      <c r="X232" s="285"/>
      <c r="Y232" s="285"/>
      <c r="Z232" s="285"/>
      <c r="AG232" s="234">
        <v>124</v>
      </c>
    </row>
    <row r="233" spans="1:33" s="234" customFormat="1" x14ac:dyDescent="0.35">
      <c r="A233" s="146">
        <v>230</v>
      </c>
      <c r="B233" s="146" t="s">
        <v>439</v>
      </c>
      <c r="C233" s="146" t="s">
        <v>440</v>
      </c>
      <c r="D233" s="146" t="s">
        <v>549</v>
      </c>
      <c r="E233" s="254">
        <f>Таблица191014[[#This Row],[Грунт]]+Таблица191014[[#This Row],[Щебень]]+Таблица191014[[#This Row],[Асфальт]]+Таблица191014[[#This Row],[Бетон]]</f>
        <v>1</v>
      </c>
      <c r="F233" s="311">
        <v>1</v>
      </c>
      <c r="G233" s="140"/>
      <c r="H233" s="249"/>
      <c r="I233" s="139"/>
      <c r="J233" s="232"/>
      <c r="K233" s="234">
        <v>1</v>
      </c>
      <c r="N233" s="234" t="b">
        <f>OR(Таблица191014[[#This Row],[Щебень]]&gt;0,Таблица191014[[#This Row],[Асфальт]]&gt;0,Таблица191014[[#This Row],[Бетон]]&gt;0)</f>
        <v>0</v>
      </c>
      <c r="Q233" s="234">
        <v>229</v>
      </c>
      <c r="U233" s="285"/>
      <c r="V233" s="285">
        <f>Таблица191014[[#This Row],[Грунт]]+Таблица191014[[#This Row],[Щебень]]+Таблица191014[[#This Row],[Асфальт]]+Таблица191014[[#This Row],[Бетон]]</f>
        <v>1</v>
      </c>
      <c r="W233" s="285"/>
      <c r="X233" s="285"/>
      <c r="Y233" s="285"/>
      <c r="Z233" s="285"/>
      <c r="AG233" s="234">
        <v>125</v>
      </c>
    </row>
    <row r="234" spans="1:33" s="234" customFormat="1" x14ac:dyDescent="0.35">
      <c r="A234" s="146">
        <v>231</v>
      </c>
      <c r="B234" s="146" t="s">
        <v>441</v>
      </c>
      <c r="C234" s="146" t="s">
        <v>442</v>
      </c>
      <c r="D234" s="146" t="s">
        <v>549</v>
      </c>
      <c r="E234" s="254">
        <f>Таблица191014[[#This Row],[Грунт]]+Таблица191014[[#This Row],[Щебень]]+Таблица191014[[#This Row],[Асфальт]]+Таблица191014[[#This Row],[Бетон]]</f>
        <v>0.6</v>
      </c>
      <c r="F234" s="311">
        <v>0.6</v>
      </c>
      <c r="G234" s="140"/>
      <c r="H234" s="249"/>
      <c r="I234" s="139"/>
      <c r="J234" s="232"/>
      <c r="K234" s="234">
        <v>1</v>
      </c>
      <c r="N234" s="234" t="b">
        <f>OR(Таблица191014[[#This Row],[Щебень]]&gt;0,Таблица191014[[#This Row],[Асфальт]]&gt;0,Таблица191014[[#This Row],[Бетон]]&gt;0)</f>
        <v>0</v>
      </c>
      <c r="Q234" s="234">
        <v>230</v>
      </c>
      <c r="U234" s="285"/>
      <c r="V234" s="285">
        <f>Таблица191014[[#This Row],[Грунт]]+Таблица191014[[#This Row],[Щебень]]+Таблица191014[[#This Row],[Асфальт]]+Таблица191014[[#This Row],[Бетон]]</f>
        <v>0.6</v>
      </c>
      <c r="W234" s="285"/>
      <c r="X234" s="285"/>
      <c r="Y234" s="285"/>
      <c r="Z234" s="285"/>
      <c r="AG234" s="234">
        <v>126</v>
      </c>
    </row>
    <row r="235" spans="1:33" s="234" customFormat="1" x14ac:dyDescent="0.35">
      <c r="A235" s="146">
        <v>232</v>
      </c>
      <c r="B235" s="146" t="s">
        <v>443</v>
      </c>
      <c r="C235" s="146" t="s">
        <v>444</v>
      </c>
      <c r="D235" s="146" t="s">
        <v>549</v>
      </c>
      <c r="E235" s="254">
        <f>Таблица191014[[#This Row],[Грунт]]+Таблица191014[[#This Row],[Щебень]]+Таблица191014[[#This Row],[Асфальт]]+Таблица191014[[#This Row],[Бетон]]</f>
        <v>1</v>
      </c>
      <c r="F235" s="311">
        <v>1</v>
      </c>
      <c r="G235" s="140"/>
      <c r="H235" s="249"/>
      <c r="I235" s="139"/>
      <c r="J235" s="232"/>
      <c r="K235" s="234">
        <v>1</v>
      </c>
      <c r="N235" s="234" t="b">
        <f>OR(Таблица191014[[#This Row],[Щебень]]&gt;0,Таблица191014[[#This Row],[Асфальт]]&gt;0,Таблица191014[[#This Row],[Бетон]]&gt;0)</f>
        <v>0</v>
      </c>
      <c r="Q235" s="234">
        <v>231</v>
      </c>
      <c r="U235" s="285"/>
      <c r="V235" s="285">
        <f>Таблица191014[[#This Row],[Грунт]]+Таблица191014[[#This Row],[Щебень]]+Таблица191014[[#This Row],[Асфальт]]+Таблица191014[[#This Row],[Бетон]]</f>
        <v>1</v>
      </c>
      <c r="W235" s="285"/>
      <c r="X235" s="285"/>
      <c r="Y235" s="285"/>
      <c r="Z235" s="285"/>
      <c r="AG235" s="234">
        <v>127</v>
      </c>
    </row>
    <row r="236" spans="1:33" s="234" customFormat="1" x14ac:dyDescent="0.35">
      <c r="A236" s="146">
        <v>233</v>
      </c>
      <c r="B236" s="146" t="s">
        <v>445</v>
      </c>
      <c r="C236" s="146" t="s">
        <v>446</v>
      </c>
      <c r="D236" s="146" t="s">
        <v>549</v>
      </c>
      <c r="E236" s="254">
        <f>Таблица191014[[#This Row],[Грунт]]+Таблица191014[[#This Row],[Щебень]]+Таблица191014[[#This Row],[Асфальт]]+Таблица191014[[#This Row],[Бетон]]</f>
        <v>0.5</v>
      </c>
      <c r="F236" s="311">
        <v>0.5</v>
      </c>
      <c r="G236" s="140"/>
      <c r="H236" s="249"/>
      <c r="I236" s="139"/>
      <c r="J236" s="232"/>
      <c r="K236" s="234">
        <v>1</v>
      </c>
      <c r="N236" s="234" t="b">
        <f>OR(Таблица191014[[#This Row],[Щебень]]&gt;0,Таблица191014[[#This Row],[Асфальт]]&gt;0,Таблица191014[[#This Row],[Бетон]]&gt;0)</f>
        <v>0</v>
      </c>
      <c r="Q236" s="234">
        <v>232</v>
      </c>
      <c r="U236" s="285"/>
      <c r="V236" s="285">
        <f>Таблица191014[[#This Row],[Грунт]]+Таблица191014[[#This Row],[Щебень]]+Таблица191014[[#This Row],[Асфальт]]+Таблица191014[[#This Row],[Бетон]]</f>
        <v>0.5</v>
      </c>
      <c r="W236" s="285"/>
      <c r="X236" s="285"/>
      <c r="Y236" s="285"/>
      <c r="Z236" s="285"/>
      <c r="AG236" s="234">
        <v>128</v>
      </c>
    </row>
    <row r="237" spans="1:33" s="234" customFormat="1" x14ac:dyDescent="0.35">
      <c r="A237" s="146">
        <v>234</v>
      </c>
      <c r="B237" s="146" t="s">
        <v>447</v>
      </c>
      <c r="C237" s="146" t="s">
        <v>448</v>
      </c>
      <c r="D237" s="146" t="s">
        <v>549</v>
      </c>
      <c r="E237" s="254">
        <f>Таблица191014[[#This Row],[Грунт]]+Таблица191014[[#This Row],[Щебень]]+Таблица191014[[#This Row],[Асфальт]]+Таблица191014[[#This Row],[Бетон]]</f>
        <v>3</v>
      </c>
      <c r="F237" s="311">
        <v>1.7</v>
      </c>
      <c r="G237" s="140">
        <v>0.3</v>
      </c>
      <c r="H237" s="249">
        <v>1</v>
      </c>
      <c r="I237" s="139"/>
      <c r="J237" s="232"/>
      <c r="K237" s="234">
        <v>1</v>
      </c>
      <c r="N237" s="234" t="b">
        <f>OR(Таблица191014[[#This Row],[Щебень]]&gt;0,Таблица191014[[#This Row],[Асфальт]]&gt;0,Таблица191014[[#This Row],[Бетон]]&gt;0)</f>
        <v>1</v>
      </c>
      <c r="O237" s="234">
        <v>1</v>
      </c>
      <c r="Q237" s="234">
        <v>233</v>
      </c>
      <c r="U237" s="285"/>
      <c r="V237" s="285">
        <f>Таблица191014[[#This Row],[Грунт]]+Таблица191014[[#This Row],[Щебень]]+Таблица191014[[#This Row],[Асфальт]]+Таблица191014[[#This Row],[Бетон]]</f>
        <v>3</v>
      </c>
      <c r="W237" s="285"/>
      <c r="X237" s="285"/>
      <c r="Y237" s="285"/>
      <c r="Z237" s="285"/>
      <c r="AG237" s="234">
        <v>129</v>
      </c>
    </row>
    <row r="238" spans="1:33" s="234" customFormat="1" x14ac:dyDescent="0.35">
      <c r="A238" s="146">
        <v>235</v>
      </c>
      <c r="B238" s="146" t="s">
        <v>449</v>
      </c>
      <c r="C238" s="146" t="s">
        <v>450</v>
      </c>
      <c r="D238" s="146" t="s">
        <v>550</v>
      </c>
      <c r="E238" s="254">
        <f>Таблица191014[[#This Row],[Грунт]]+Таблица191014[[#This Row],[Щебень]]+Таблица191014[[#This Row],[Асфальт]]+Таблица191014[[#This Row],[Бетон]]</f>
        <v>7.5</v>
      </c>
      <c r="F238" s="311">
        <v>6.85</v>
      </c>
      <c r="G238" s="140"/>
      <c r="H238" s="249">
        <v>0.65</v>
      </c>
      <c r="I238" s="139"/>
      <c r="J238" s="232"/>
      <c r="K238" s="234">
        <v>1</v>
      </c>
      <c r="N238" s="234" t="b">
        <f>OR(Таблица191014[[#This Row],[Щебень]]&gt;0,Таблица191014[[#This Row],[Асфальт]]&gt;0,Таблица191014[[#This Row],[Бетон]]&gt;0)</f>
        <v>1</v>
      </c>
      <c r="Q238" s="234">
        <v>234</v>
      </c>
      <c r="U238" s="285"/>
      <c r="V238" s="285">
        <f>Таблица191014[[#This Row],[Грунт]]+Таблица191014[[#This Row],[Щебень]]+Таблица191014[[#This Row],[Асфальт]]+Таблица191014[[#This Row],[Бетон]]</f>
        <v>7.5</v>
      </c>
      <c r="W238" s="285"/>
      <c r="X238" s="285"/>
      <c r="Y238" s="285"/>
      <c r="Z238" s="285"/>
      <c r="AG238" s="234">
        <v>130</v>
      </c>
    </row>
    <row r="239" spans="1:33" s="234" customFormat="1" x14ac:dyDescent="0.35">
      <c r="A239" s="146">
        <v>236</v>
      </c>
      <c r="B239" s="146" t="s">
        <v>451</v>
      </c>
      <c r="C239" s="146" t="s">
        <v>452</v>
      </c>
      <c r="D239" s="146" t="s">
        <v>550</v>
      </c>
      <c r="E239" s="254">
        <f>Таблица191014[[#This Row],[Грунт]]+Таблица191014[[#This Row],[Щебень]]+Таблица191014[[#This Row],[Асфальт]]+Таблица191014[[#This Row],[Бетон]]</f>
        <v>1.65</v>
      </c>
      <c r="F239" s="311">
        <v>1.65</v>
      </c>
      <c r="G239" s="140"/>
      <c r="H239" s="249"/>
      <c r="I239" s="139"/>
      <c r="J239" s="232"/>
      <c r="K239" s="234">
        <v>1</v>
      </c>
      <c r="N239" s="234" t="b">
        <f>OR(Таблица191014[[#This Row],[Щебень]]&gt;0,Таблица191014[[#This Row],[Асфальт]]&gt;0,Таблица191014[[#This Row],[Бетон]]&gt;0)</f>
        <v>0</v>
      </c>
      <c r="Q239" s="234">
        <v>235</v>
      </c>
      <c r="U239" s="285"/>
      <c r="V239" s="285">
        <f>Таблица191014[[#This Row],[Грунт]]+Таблица191014[[#This Row],[Щебень]]+Таблица191014[[#This Row],[Асфальт]]+Таблица191014[[#This Row],[Бетон]]</f>
        <v>1.65</v>
      </c>
      <c r="W239" s="285"/>
      <c r="X239" s="285"/>
      <c r="Y239" s="285"/>
      <c r="Z239" s="285"/>
      <c r="AG239" s="234">
        <v>131</v>
      </c>
    </row>
    <row r="240" spans="1:33" s="234" customFormat="1" x14ac:dyDescent="0.35">
      <c r="A240" s="146">
        <v>237</v>
      </c>
      <c r="B240" s="146" t="s">
        <v>453</v>
      </c>
      <c r="C240" s="146" t="s">
        <v>454</v>
      </c>
      <c r="D240" s="146" t="s">
        <v>550</v>
      </c>
      <c r="E240" s="254">
        <f>Таблица191014[[#This Row],[Грунт]]+Таблица191014[[#This Row],[Щебень]]+Таблица191014[[#This Row],[Асфальт]]+Таблица191014[[#This Row],[Бетон]]</f>
        <v>1.7</v>
      </c>
      <c r="F240" s="311"/>
      <c r="G240" s="140">
        <v>0.7</v>
      </c>
      <c r="H240" s="249">
        <v>1</v>
      </c>
      <c r="I240" s="139"/>
      <c r="J240" s="232"/>
      <c r="K240" s="234" t="s">
        <v>557</v>
      </c>
      <c r="N240" s="234" t="b">
        <f>OR(Таблица191014[[#This Row],[Щебень]]&gt;0,Таблица191014[[#This Row],[Асфальт]]&gt;0,Таблица191014[[#This Row],[Бетон]]&gt;0)</f>
        <v>1</v>
      </c>
      <c r="O240" s="234">
        <v>1</v>
      </c>
      <c r="Q240" s="234">
        <v>236</v>
      </c>
      <c r="U240" s="285"/>
      <c r="V240" s="285">
        <f>Таблица191014[[#This Row],[Грунт]]+Таблица191014[[#This Row],[Щебень]]+Таблица191014[[#This Row],[Асфальт]]+Таблица191014[[#This Row],[Бетон]]</f>
        <v>1.7</v>
      </c>
      <c r="W240" s="285"/>
      <c r="X240" s="285"/>
      <c r="Y240" s="285"/>
      <c r="Z240" s="285"/>
      <c r="AG240" s="234">
        <v>132</v>
      </c>
    </row>
    <row r="241" spans="1:33" s="234" customFormat="1" x14ac:dyDescent="0.35">
      <c r="A241" s="146">
        <v>238</v>
      </c>
      <c r="B241" s="146" t="s">
        <v>455</v>
      </c>
      <c r="C241" s="146" t="s">
        <v>456</v>
      </c>
      <c r="D241" s="146" t="s">
        <v>550</v>
      </c>
      <c r="E241" s="254">
        <f>Таблица191014[[#This Row],[Грунт]]+Таблица191014[[#This Row],[Щебень]]+Таблица191014[[#This Row],[Асфальт]]+Таблица191014[[#This Row],[Бетон]]</f>
        <v>1.25</v>
      </c>
      <c r="F241" s="311">
        <v>1.25</v>
      </c>
      <c r="G241" s="140"/>
      <c r="H241" s="249"/>
      <c r="I241" s="139"/>
      <c r="J241" s="232"/>
      <c r="K241" s="234">
        <v>1</v>
      </c>
      <c r="N241" s="234" t="b">
        <f>OR(Таблица191014[[#This Row],[Щебень]]&gt;0,Таблица191014[[#This Row],[Асфальт]]&gt;0,Таблица191014[[#This Row],[Бетон]]&gt;0)</f>
        <v>0</v>
      </c>
      <c r="Q241" s="234">
        <v>237</v>
      </c>
      <c r="U241" s="285"/>
      <c r="V241" s="285">
        <f>Таблица191014[[#This Row],[Грунт]]+Таблица191014[[#This Row],[Щебень]]+Таблица191014[[#This Row],[Асфальт]]+Таблица191014[[#This Row],[Бетон]]</f>
        <v>1.25</v>
      </c>
      <c r="W241" s="285"/>
      <c r="X241" s="285"/>
      <c r="Y241" s="285"/>
      <c r="Z241" s="285"/>
      <c r="AG241" s="234">
        <v>133</v>
      </c>
    </row>
    <row r="242" spans="1:33" s="234" customFormat="1" x14ac:dyDescent="0.35">
      <c r="A242" s="146">
        <v>239</v>
      </c>
      <c r="B242" s="146" t="s">
        <v>457</v>
      </c>
      <c r="C242" s="146" t="s">
        <v>458</v>
      </c>
      <c r="D242" s="146" t="s">
        <v>551</v>
      </c>
      <c r="E242" s="321">
        <f>Таблица191014[[#This Row],[Грунт]]+Таблица191014[[#This Row],[Щебень]]+Таблица191014[[#This Row],[Асфальт]]+Таблица191014[[#This Row],[Бетон]]</f>
        <v>4.3760000000000003</v>
      </c>
      <c r="F242" s="311">
        <v>0.4</v>
      </c>
      <c r="G242" s="140">
        <f>3-0.72-0.004</f>
        <v>2.2760000000000002</v>
      </c>
      <c r="H242" s="249">
        <v>1.7</v>
      </c>
      <c r="I242" s="139"/>
      <c r="J242" s="232"/>
      <c r="K242" s="234" t="s">
        <v>557</v>
      </c>
      <c r="N242" s="234" t="b">
        <f>OR(Таблица191014[[#This Row],[Щебень]]&gt;0,Таблица191014[[#This Row],[Асфальт]]&gt;0,Таблица191014[[#This Row],[Бетон]]&gt;0)</f>
        <v>1</v>
      </c>
      <c r="O242" s="234">
        <v>1</v>
      </c>
      <c r="Q242" s="234">
        <v>238</v>
      </c>
      <c r="U242" s="285"/>
      <c r="V242" s="285">
        <f>Таблица191014[[#This Row],[Грунт]]+Таблица191014[[#This Row],[Щебень]]+Таблица191014[[#This Row],[Асфальт]]+Таблица191014[[#This Row],[Бетон]]</f>
        <v>4.3760000000000003</v>
      </c>
      <c r="W242" s="285"/>
      <c r="X242" s="285"/>
      <c r="Y242" s="285"/>
      <c r="Z242" s="285"/>
      <c r="AG242" s="234">
        <v>134</v>
      </c>
    </row>
    <row r="243" spans="1:33" s="234" customFormat="1" x14ac:dyDescent="0.35">
      <c r="A243" s="146">
        <v>240</v>
      </c>
      <c r="B243" s="146" t="s">
        <v>459</v>
      </c>
      <c r="C243" s="146" t="s">
        <v>460</v>
      </c>
      <c r="D243" s="146" t="s">
        <v>551</v>
      </c>
      <c r="E243" s="254">
        <f>Таблица191014[[#This Row],[Грунт]]+Таблица191014[[#This Row],[Щебень]]+Таблица191014[[#This Row],[Асфальт]]+Таблица191014[[#This Row],[Бетон]]</f>
        <v>2.5</v>
      </c>
      <c r="F243" s="311">
        <v>1.8</v>
      </c>
      <c r="G243" s="140">
        <v>0.7</v>
      </c>
      <c r="H243" s="249"/>
      <c r="I243" s="139"/>
      <c r="J243" s="232"/>
      <c r="K243" s="234">
        <v>1</v>
      </c>
      <c r="N243" s="234" t="b">
        <f>OR(Таблица191014[[#This Row],[Щебень]]&gt;0,Таблица191014[[#This Row],[Асфальт]]&gt;0,Таблица191014[[#This Row],[Бетон]]&gt;0)</f>
        <v>1</v>
      </c>
      <c r="Q243" s="234">
        <v>239</v>
      </c>
      <c r="U243" s="285"/>
      <c r="V243" s="285">
        <f>Таблица191014[[#This Row],[Грунт]]+Таблица191014[[#This Row],[Щебень]]+Таблица191014[[#This Row],[Асфальт]]+Таблица191014[[#This Row],[Бетон]]</f>
        <v>2.5</v>
      </c>
      <c r="W243" s="285"/>
      <c r="X243" s="285"/>
      <c r="Y243" s="285"/>
      <c r="Z243" s="285"/>
      <c r="AG243" s="234">
        <v>135</v>
      </c>
    </row>
    <row r="244" spans="1:33" s="234" customFormat="1" x14ac:dyDescent="0.35">
      <c r="A244" s="146">
        <v>241</v>
      </c>
      <c r="B244" s="146" t="s">
        <v>461</v>
      </c>
      <c r="C244" s="146" t="s">
        <v>462</v>
      </c>
      <c r="D244" s="146" t="s">
        <v>551</v>
      </c>
      <c r="E244" s="254">
        <f>Таблица191014[[#This Row],[Грунт]]+Таблица191014[[#This Row],[Щебень]]+Таблица191014[[#This Row],[Асфальт]]+Таблица191014[[#This Row],[Бетон]]</f>
        <v>0.7</v>
      </c>
      <c r="F244" s="311">
        <v>0.7</v>
      </c>
      <c r="G244" s="140"/>
      <c r="H244" s="249"/>
      <c r="I244" s="139"/>
      <c r="J244" s="232"/>
      <c r="K244" s="234">
        <v>1</v>
      </c>
      <c r="N244" s="234" t="b">
        <f>OR(Таблица191014[[#This Row],[Щебень]]&gt;0,Таблица191014[[#This Row],[Асфальт]]&gt;0,Таблица191014[[#This Row],[Бетон]]&gt;0)</f>
        <v>0</v>
      </c>
      <c r="Q244" s="234">
        <v>240</v>
      </c>
      <c r="U244" s="285"/>
      <c r="V244" s="285">
        <f>Таблица191014[[#This Row],[Грунт]]+Таблица191014[[#This Row],[Щебень]]+Таблица191014[[#This Row],[Асфальт]]+Таблица191014[[#This Row],[Бетон]]</f>
        <v>0.7</v>
      </c>
      <c r="W244" s="285"/>
      <c r="X244" s="285"/>
      <c r="Y244" s="285"/>
      <c r="Z244" s="285"/>
      <c r="AG244" s="234">
        <v>136</v>
      </c>
    </row>
    <row r="245" spans="1:33" s="234" customFormat="1" x14ac:dyDescent="0.35">
      <c r="A245" s="146">
        <v>242</v>
      </c>
      <c r="B245" s="146" t="s">
        <v>463</v>
      </c>
      <c r="C245" s="146" t="s">
        <v>464</v>
      </c>
      <c r="D245" s="146" t="s">
        <v>551</v>
      </c>
      <c r="E245" s="254">
        <f>Таблица191014[[#This Row],[Грунт]]+Таблица191014[[#This Row],[Щебень]]+Таблица191014[[#This Row],[Асфальт]]+Таблица191014[[#This Row],[Бетон]]</f>
        <v>1.7</v>
      </c>
      <c r="F245" s="311">
        <v>1.7</v>
      </c>
      <c r="G245" s="140"/>
      <c r="H245" s="249"/>
      <c r="I245" s="139"/>
      <c r="J245" s="232"/>
      <c r="K245" s="234">
        <v>1</v>
      </c>
      <c r="N245" s="234" t="b">
        <f>OR(Таблица191014[[#This Row],[Щебень]]&gt;0,Таблица191014[[#This Row],[Асфальт]]&gt;0,Таблица191014[[#This Row],[Бетон]]&gt;0)</f>
        <v>0</v>
      </c>
      <c r="Q245" s="234">
        <v>241</v>
      </c>
      <c r="U245" s="285"/>
      <c r="V245" s="285">
        <f>Таблица191014[[#This Row],[Грунт]]+Таблица191014[[#This Row],[Щебень]]+Таблица191014[[#This Row],[Асфальт]]+Таблица191014[[#This Row],[Бетон]]</f>
        <v>1.7</v>
      </c>
      <c r="W245" s="285"/>
      <c r="X245" s="285"/>
      <c r="Y245" s="285"/>
      <c r="Z245" s="285"/>
      <c r="AG245" s="234">
        <v>137</v>
      </c>
    </row>
    <row r="246" spans="1:33" s="234" customFormat="1" x14ac:dyDescent="0.35">
      <c r="A246" s="146">
        <v>243</v>
      </c>
      <c r="B246" s="146" t="s">
        <v>465</v>
      </c>
      <c r="C246" s="146" t="s">
        <v>466</v>
      </c>
      <c r="D246" s="146" t="s">
        <v>551</v>
      </c>
      <c r="E246" s="254">
        <f>Таблица191014[[#This Row],[Грунт]]+Таблица191014[[#This Row],[Щебень]]+Таблица191014[[#This Row],[Асфальт]]+Таблица191014[[#This Row],[Бетон]]</f>
        <v>2.5</v>
      </c>
      <c r="F246" s="311"/>
      <c r="G246" s="140">
        <v>2.5</v>
      </c>
      <c r="H246" s="249"/>
      <c r="I246" s="139"/>
      <c r="J246" s="232"/>
      <c r="K246" s="234" t="s">
        <v>557</v>
      </c>
      <c r="N246" s="234" t="b">
        <f>OR(Таблица191014[[#This Row],[Щебень]]&gt;0,Таблица191014[[#This Row],[Асфальт]]&gt;0,Таблица191014[[#This Row],[Бетон]]&gt;0)</f>
        <v>1</v>
      </c>
      <c r="O246" s="234">
        <v>1</v>
      </c>
      <c r="Q246" s="234">
        <v>242</v>
      </c>
      <c r="U246" s="285"/>
      <c r="V246" s="285">
        <f>Таблица191014[[#This Row],[Грунт]]+Таблица191014[[#This Row],[Щебень]]+Таблица191014[[#This Row],[Асфальт]]+Таблица191014[[#This Row],[Бетон]]</f>
        <v>2.5</v>
      </c>
      <c r="W246" s="285"/>
      <c r="X246" s="285"/>
      <c r="Y246" s="285"/>
      <c r="Z246" s="285"/>
      <c r="AG246" s="234">
        <v>138</v>
      </c>
    </row>
    <row r="247" spans="1:33" s="234" customFormat="1" x14ac:dyDescent="0.35">
      <c r="A247" s="146">
        <v>244</v>
      </c>
      <c r="B247" s="146" t="s">
        <v>467</v>
      </c>
      <c r="C247" s="146" t="s">
        <v>468</v>
      </c>
      <c r="D247" s="146" t="s">
        <v>551</v>
      </c>
      <c r="E247" s="254">
        <f>Таблица191014[[#This Row],[Грунт]]+Таблица191014[[#This Row],[Щебень]]+Таблица191014[[#This Row],[Асфальт]]+Таблица191014[[#This Row],[Бетон]]</f>
        <v>0.5</v>
      </c>
      <c r="F247" s="311">
        <v>0.5</v>
      </c>
      <c r="G247" s="140"/>
      <c r="H247" s="249"/>
      <c r="I247" s="139"/>
      <c r="J247" s="232"/>
      <c r="K247" s="234">
        <v>1</v>
      </c>
      <c r="N247" s="234" t="b">
        <f>OR(Таблица191014[[#This Row],[Щебень]]&gt;0,Таблица191014[[#This Row],[Асфальт]]&gt;0,Таблица191014[[#This Row],[Бетон]]&gt;0)</f>
        <v>0</v>
      </c>
      <c r="Q247" s="234">
        <v>243</v>
      </c>
      <c r="U247" s="285"/>
      <c r="V247" s="285">
        <f>Таблица191014[[#This Row],[Грунт]]+Таблица191014[[#This Row],[Щебень]]+Таблица191014[[#This Row],[Асфальт]]+Таблица191014[[#This Row],[Бетон]]</f>
        <v>0.5</v>
      </c>
      <c r="W247" s="285"/>
      <c r="X247" s="285"/>
      <c r="Y247" s="285"/>
      <c r="Z247" s="285"/>
      <c r="AG247" s="234">
        <v>139</v>
      </c>
    </row>
    <row r="248" spans="1:33" s="234" customFormat="1" x14ac:dyDescent="0.35">
      <c r="A248" s="146">
        <v>245</v>
      </c>
      <c r="B248" s="146" t="s">
        <v>469</v>
      </c>
      <c r="C248" s="146" t="s">
        <v>470</v>
      </c>
      <c r="D248" s="146" t="s">
        <v>551</v>
      </c>
      <c r="E248" s="254">
        <f>Таблица191014[[#This Row],[Грунт]]+Таблица191014[[#This Row],[Щебень]]+Таблица191014[[#This Row],[Асфальт]]+Таблица191014[[#This Row],[Бетон]]</f>
        <v>0.6</v>
      </c>
      <c r="F248" s="311">
        <v>0.6</v>
      </c>
      <c r="G248" s="140"/>
      <c r="H248" s="249"/>
      <c r="I248" s="139"/>
      <c r="J248" s="232"/>
      <c r="K248" s="234">
        <v>1</v>
      </c>
      <c r="N248" s="234" t="b">
        <f>OR(Таблица191014[[#This Row],[Щебень]]&gt;0,Таблица191014[[#This Row],[Асфальт]]&gt;0,Таблица191014[[#This Row],[Бетон]]&gt;0)</f>
        <v>0</v>
      </c>
      <c r="Q248" s="234">
        <v>244</v>
      </c>
      <c r="U248" s="285"/>
      <c r="V248" s="285">
        <f>Таблица191014[[#This Row],[Грунт]]+Таблица191014[[#This Row],[Щебень]]+Таблица191014[[#This Row],[Асфальт]]+Таблица191014[[#This Row],[Бетон]]</f>
        <v>0.6</v>
      </c>
      <c r="W248" s="285"/>
      <c r="X248" s="285"/>
      <c r="Y248" s="285"/>
      <c r="Z248" s="285"/>
      <c r="AG248" s="234">
        <v>140</v>
      </c>
    </row>
    <row r="249" spans="1:33" s="234" customFormat="1" x14ac:dyDescent="0.35">
      <c r="A249" s="146">
        <v>246</v>
      </c>
      <c r="B249" s="146" t="s">
        <v>471</v>
      </c>
      <c r="C249" s="146" t="s">
        <v>472</v>
      </c>
      <c r="D249" s="146" t="s">
        <v>551</v>
      </c>
      <c r="E249" s="254">
        <f>Таблица191014[[#This Row],[Грунт]]+Таблица191014[[#This Row],[Щебень]]+Таблица191014[[#This Row],[Асфальт]]+Таблица191014[[#This Row],[Бетон]]</f>
        <v>1.45</v>
      </c>
      <c r="F249" s="311">
        <v>0.63</v>
      </c>
      <c r="G249" s="140"/>
      <c r="H249" s="249">
        <v>0.82</v>
      </c>
      <c r="I249" s="139"/>
      <c r="J249" s="232"/>
      <c r="K249" s="234" t="s">
        <v>558</v>
      </c>
      <c r="N249" s="234" t="b">
        <f>OR(Таблица191014[[#This Row],[Щебень]]&gt;0,Таблица191014[[#This Row],[Асфальт]]&gt;0,Таблица191014[[#This Row],[Бетон]]&gt;0)</f>
        <v>1</v>
      </c>
      <c r="O249" s="234">
        <v>1</v>
      </c>
      <c r="Q249" s="234">
        <v>245</v>
      </c>
      <c r="U249" s="285"/>
      <c r="V249" s="285">
        <f>Таблица191014[[#This Row],[Грунт]]+Таблица191014[[#This Row],[Щебень]]+Таблица191014[[#This Row],[Асфальт]]+Таблица191014[[#This Row],[Бетон]]</f>
        <v>1.45</v>
      </c>
      <c r="W249" s="285"/>
      <c r="X249" s="285"/>
      <c r="Y249" s="285"/>
      <c r="Z249" s="285"/>
      <c r="AG249" s="234">
        <v>141</v>
      </c>
    </row>
    <row r="250" spans="1:33" s="234" customFormat="1" x14ac:dyDescent="0.35">
      <c r="A250" s="146">
        <v>247</v>
      </c>
      <c r="B250" s="146" t="s">
        <v>473</v>
      </c>
      <c r="C250" s="146" t="s">
        <v>474</v>
      </c>
      <c r="D250" s="146" t="s">
        <v>552</v>
      </c>
      <c r="E250" s="254">
        <f>Таблица191014[[#This Row],[Грунт]]+Таблица191014[[#This Row],[Щебень]]+Таблица191014[[#This Row],[Асфальт]]+Таблица191014[[#This Row],[Бетон]]</f>
        <v>1.3</v>
      </c>
      <c r="F250" s="311"/>
      <c r="G250" s="140"/>
      <c r="H250" s="249">
        <v>1.3</v>
      </c>
      <c r="I250" s="139"/>
      <c r="J250" s="232"/>
      <c r="K250" s="234" t="s">
        <v>558</v>
      </c>
      <c r="N250" s="234" t="b">
        <f>OR(Таблица191014[[#This Row],[Щебень]]&gt;0,Таблица191014[[#This Row],[Асфальт]]&gt;0,Таблица191014[[#This Row],[Бетон]]&gt;0)</f>
        <v>1</v>
      </c>
      <c r="O250" s="234">
        <v>1</v>
      </c>
      <c r="Q250" s="234">
        <v>246</v>
      </c>
      <c r="U250" s="285"/>
      <c r="V250" s="285">
        <f>Таблица191014[[#This Row],[Грунт]]+Таблица191014[[#This Row],[Щебень]]+Таблица191014[[#This Row],[Асфальт]]+Таблица191014[[#This Row],[Бетон]]</f>
        <v>1.3</v>
      </c>
      <c r="W250" s="285"/>
      <c r="X250" s="285"/>
      <c r="Y250" s="285"/>
      <c r="Z250" s="285"/>
      <c r="AG250" s="234">
        <v>142</v>
      </c>
    </row>
    <row r="251" spans="1:33" s="234" customFormat="1" ht="46.5" x14ac:dyDescent="0.35">
      <c r="A251" s="146">
        <v>248</v>
      </c>
      <c r="B251" s="146" t="s">
        <v>475</v>
      </c>
      <c r="C251" s="146" t="s">
        <v>476</v>
      </c>
      <c r="D251" s="146" t="s">
        <v>552</v>
      </c>
      <c r="E251" s="254">
        <f>Таблица191014[[#This Row],[Грунт]]+Таблица191014[[#This Row],[Щебень]]+Таблица191014[[#This Row],[Асфальт]]+Таблица191014[[#This Row],[Бетон]]</f>
        <v>0.88100000000000001</v>
      </c>
      <c r="F251" s="311"/>
      <c r="G251" s="140"/>
      <c r="H251" s="249">
        <v>0.88100000000000001</v>
      </c>
      <c r="I251" s="139"/>
      <c r="J251" s="232"/>
      <c r="K251" s="234" t="s">
        <v>558</v>
      </c>
      <c r="N251" s="234" t="b">
        <f>OR(Таблица191014[[#This Row],[Щебень]]&gt;0,Таблица191014[[#This Row],[Асфальт]]&gt;0,Таблица191014[[#This Row],[Бетон]]&gt;0)</f>
        <v>1</v>
      </c>
      <c r="O251" s="234">
        <v>1</v>
      </c>
      <c r="Q251" s="234">
        <v>247</v>
      </c>
      <c r="U251" s="285"/>
      <c r="V251" s="285">
        <f>Таблица191014[[#This Row],[Грунт]]+Таблица191014[[#This Row],[Щебень]]+Таблица191014[[#This Row],[Асфальт]]+Таблица191014[[#This Row],[Бетон]]</f>
        <v>0.88100000000000001</v>
      </c>
      <c r="W251" s="285"/>
      <c r="X251" s="285"/>
      <c r="Y251" s="285"/>
      <c r="Z251" s="285"/>
      <c r="AG251" s="234">
        <v>143</v>
      </c>
    </row>
    <row r="252" spans="1:33" s="234" customFormat="1" x14ac:dyDescent="0.35">
      <c r="A252" s="146">
        <v>249</v>
      </c>
      <c r="B252" s="146" t="s">
        <v>477</v>
      </c>
      <c r="C252" s="146" t="s">
        <v>478</v>
      </c>
      <c r="D252" s="146" t="s">
        <v>552</v>
      </c>
      <c r="E252" s="254">
        <f>Таблица191014[[#This Row],[Грунт]]+Таблица191014[[#This Row],[Щебень]]+Таблица191014[[#This Row],[Асфальт]]+Таблица191014[[#This Row],[Бетон]]</f>
        <v>1.601</v>
      </c>
      <c r="F252" s="311"/>
      <c r="G252" s="140"/>
      <c r="H252" s="249">
        <v>1.601</v>
      </c>
      <c r="I252" s="139"/>
      <c r="J252" s="232"/>
      <c r="K252" s="234" t="s">
        <v>557</v>
      </c>
      <c r="N252" s="234" t="b">
        <f>OR(Таблица191014[[#This Row],[Щебень]]&gt;0,Таблица191014[[#This Row],[Асфальт]]&gt;0,Таблица191014[[#This Row],[Бетон]]&gt;0)</f>
        <v>1</v>
      </c>
      <c r="O252" s="234">
        <v>1</v>
      </c>
      <c r="Q252" s="234">
        <v>248</v>
      </c>
      <c r="U252" s="285"/>
      <c r="V252" s="285">
        <f>Таблица191014[[#This Row],[Грунт]]+Таблица191014[[#This Row],[Щебень]]+Таблица191014[[#This Row],[Асфальт]]+Таблица191014[[#This Row],[Бетон]]</f>
        <v>1.601</v>
      </c>
      <c r="W252" s="285"/>
      <c r="X252" s="285"/>
      <c r="Y252" s="285"/>
      <c r="Z252" s="285"/>
      <c r="AG252" s="234">
        <v>144</v>
      </c>
    </row>
    <row r="253" spans="1:33" s="234" customFormat="1" ht="46.5" x14ac:dyDescent="0.35">
      <c r="A253" s="146">
        <v>250</v>
      </c>
      <c r="B253" s="146" t="s">
        <v>479</v>
      </c>
      <c r="C253" s="146" t="s">
        <v>480</v>
      </c>
      <c r="D253" s="146" t="s">
        <v>552</v>
      </c>
      <c r="E253" s="254">
        <f>Таблица191014[[#This Row],[Грунт]]+Таблица191014[[#This Row],[Щебень]]+Таблица191014[[#This Row],[Асфальт]]+Таблица191014[[#This Row],[Бетон]]</f>
        <v>2.1059999999999999</v>
      </c>
      <c r="F253" s="311"/>
      <c r="G253" s="140"/>
      <c r="H253" s="249">
        <v>2.1059999999999999</v>
      </c>
      <c r="I253" s="139"/>
      <c r="J253" s="232"/>
      <c r="K253" s="234" t="s">
        <v>558</v>
      </c>
      <c r="N253" s="234" t="b">
        <f>OR(Таблица191014[[#This Row],[Щебень]]&gt;0,Таблица191014[[#This Row],[Асфальт]]&gt;0,Таблица191014[[#This Row],[Бетон]]&gt;0)</f>
        <v>1</v>
      </c>
      <c r="O253" s="234">
        <v>1</v>
      </c>
      <c r="Q253" s="234">
        <v>249</v>
      </c>
      <c r="U253" s="285"/>
      <c r="V253" s="285">
        <f>Таблица191014[[#This Row],[Грунт]]+Таблица191014[[#This Row],[Щебень]]+Таблица191014[[#This Row],[Асфальт]]+Таблица191014[[#This Row],[Бетон]]</f>
        <v>2.1059999999999999</v>
      </c>
      <c r="W253" s="285"/>
      <c r="X253" s="285"/>
      <c r="Y253" s="285"/>
      <c r="Z253" s="285"/>
      <c r="AG253" s="234">
        <v>145</v>
      </c>
    </row>
    <row r="254" spans="1:33" s="234" customFormat="1" ht="46.5" x14ac:dyDescent="0.35">
      <c r="A254" s="146">
        <v>251</v>
      </c>
      <c r="B254" s="146" t="s">
        <v>481</v>
      </c>
      <c r="C254" s="146" t="s">
        <v>482</v>
      </c>
      <c r="D254" s="146" t="s">
        <v>552</v>
      </c>
      <c r="E254" s="254">
        <f>Таблица191014[[#This Row],[Грунт]]+Таблица191014[[#This Row],[Щебень]]+Таблица191014[[#This Row],[Асфальт]]+Таблица191014[[#This Row],[Бетон]]</f>
        <v>0.3</v>
      </c>
      <c r="F254" s="311"/>
      <c r="G254" s="140"/>
      <c r="H254" s="249">
        <v>0.3</v>
      </c>
      <c r="I254" s="139"/>
      <c r="J254" s="232"/>
      <c r="K254" s="234">
        <v>1</v>
      </c>
      <c r="N254" s="234" t="b">
        <f>OR(Таблица191014[[#This Row],[Щебень]]&gt;0,Таблица191014[[#This Row],[Асфальт]]&gt;0,Таблица191014[[#This Row],[Бетон]]&gt;0)</f>
        <v>1</v>
      </c>
      <c r="O254" s="234">
        <v>1</v>
      </c>
      <c r="Q254" s="234">
        <v>250</v>
      </c>
      <c r="U254" s="285"/>
      <c r="V254" s="285">
        <f>Таблица191014[[#This Row],[Грунт]]+Таблица191014[[#This Row],[Щебень]]+Таблица191014[[#This Row],[Асфальт]]+Таблица191014[[#This Row],[Бетон]]</f>
        <v>0.3</v>
      </c>
      <c r="W254" s="285"/>
      <c r="X254" s="285"/>
      <c r="Y254" s="285"/>
      <c r="Z254" s="285"/>
      <c r="AG254" s="234">
        <v>146</v>
      </c>
    </row>
    <row r="255" spans="1:33" s="234" customFormat="1" x14ac:dyDescent="0.35">
      <c r="A255" s="146">
        <v>252</v>
      </c>
      <c r="B255" s="146" t="s">
        <v>483</v>
      </c>
      <c r="C255" s="146" t="s">
        <v>484</v>
      </c>
      <c r="D255" s="146" t="s">
        <v>552</v>
      </c>
      <c r="E255" s="254">
        <f>Таблица191014[[#This Row],[Грунт]]+Таблица191014[[#This Row],[Щебень]]+Таблица191014[[#This Row],[Асфальт]]+Таблица191014[[#This Row],[Бетон]]</f>
        <v>1.9</v>
      </c>
      <c r="F255" s="311">
        <v>0</v>
      </c>
      <c r="G255" s="140">
        <v>0</v>
      </c>
      <c r="H255" s="249">
        <v>1.9</v>
      </c>
      <c r="I255" s="139"/>
      <c r="J255" s="232"/>
      <c r="K255" s="234" t="s">
        <v>558</v>
      </c>
      <c r="N255" s="234" t="b">
        <f>OR(Таблица191014[[#This Row],[Щебень]]&gt;0,Таблица191014[[#This Row],[Асфальт]]&gt;0,Таблица191014[[#This Row],[Бетон]]&gt;0)</f>
        <v>1</v>
      </c>
      <c r="O255" s="234">
        <v>1</v>
      </c>
      <c r="Q255" s="234">
        <v>251</v>
      </c>
      <c r="U255" s="285"/>
      <c r="V255" s="285">
        <f>Таблица191014[[#This Row],[Грунт]]+Таблица191014[[#This Row],[Щебень]]+Таблица191014[[#This Row],[Асфальт]]+Таблица191014[[#This Row],[Бетон]]</f>
        <v>1.9</v>
      </c>
      <c r="W255" s="285"/>
      <c r="X255" s="285"/>
      <c r="Y255" s="285"/>
      <c r="Z255" s="285"/>
      <c r="AG255" s="234">
        <v>147</v>
      </c>
    </row>
    <row r="256" spans="1:33" s="234" customFormat="1" x14ac:dyDescent="0.35">
      <c r="A256" s="146">
        <v>253</v>
      </c>
      <c r="B256" s="146" t="s">
        <v>485</v>
      </c>
      <c r="C256" s="146" t="s">
        <v>486</v>
      </c>
      <c r="D256" s="146" t="s">
        <v>552</v>
      </c>
      <c r="E256" s="254">
        <f>Таблица191014[[#This Row],[Грунт]]+Таблица191014[[#This Row],[Щебень]]+Таблица191014[[#This Row],[Асфальт]]+Таблица191014[[#This Row],[Бетон]]</f>
        <v>0.9</v>
      </c>
      <c r="F256" s="311"/>
      <c r="G256" s="140">
        <v>0</v>
      </c>
      <c r="H256" s="249">
        <v>0.9</v>
      </c>
      <c r="I256" s="139"/>
      <c r="J256" s="232"/>
      <c r="K256" s="234">
        <v>1</v>
      </c>
      <c r="N256" s="234" t="b">
        <f>OR(Таблица191014[[#This Row],[Щебень]]&gt;0,Таблица191014[[#This Row],[Асфальт]]&gt;0,Таблица191014[[#This Row],[Бетон]]&gt;0)</f>
        <v>1</v>
      </c>
      <c r="O256" s="234">
        <v>1</v>
      </c>
      <c r="Q256" s="234">
        <v>252</v>
      </c>
      <c r="U256" s="285"/>
      <c r="V256" s="285">
        <f>Таблица191014[[#This Row],[Грунт]]+Таблица191014[[#This Row],[Щебень]]+Таблица191014[[#This Row],[Асфальт]]+Таблица191014[[#This Row],[Бетон]]</f>
        <v>0.9</v>
      </c>
      <c r="W256" s="285"/>
      <c r="X256" s="285"/>
      <c r="Y256" s="285"/>
      <c r="Z256" s="285"/>
      <c r="AG256" s="234">
        <v>148</v>
      </c>
    </row>
    <row r="257" spans="1:33" s="234" customFormat="1" ht="46.5" x14ac:dyDescent="0.35">
      <c r="A257" s="146">
        <v>254</v>
      </c>
      <c r="B257" s="146" t="s">
        <v>487</v>
      </c>
      <c r="C257" s="146" t="s">
        <v>488</v>
      </c>
      <c r="D257" s="146" t="s">
        <v>552</v>
      </c>
      <c r="E257" s="254">
        <f>Таблица191014[[#This Row],[Грунт]]+Таблица191014[[#This Row],[Щебень]]+Таблица191014[[#This Row],[Асфальт]]+Таблица191014[[#This Row],[Бетон]]</f>
        <v>2</v>
      </c>
      <c r="F257" s="311"/>
      <c r="G257" s="140"/>
      <c r="H257" s="249">
        <v>2</v>
      </c>
      <c r="I257" s="139"/>
      <c r="J257" s="232"/>
      <c r="K257" s="234" t="s">
        <v>557</v>
      </c>
      <c r="N257" s="234" t="b">
        <f>OR(Таблица191014[[#This Row],[Щебень]]&gt;0,Таблица191014[[#This Row],[Асфальт]]&gt;0,Таблица191014[[#This Row],[Бетон]]&gt;0)</f>
        <v>1</v>
      </c>
      <c r="O257" s="234">
        <v>1</v>
      </c>
      <c r="Q257" s="234">
        <v>253</v>
      </c>
      <c r="U257" s="285"/>
      <c r="V257" s="285">
        <f>Таблица191014[[#This Row],[Грунт]]+Таблица191014[[#This Row],[Щебень]]+Таблица191014[[#This Row],[Асфальт]]+Таблица191014[[#This Row],[Бетон]]</f>
        <v>2</v>
      </c>
      <c r="W257" s="285"/>
      <c r="X257" s="285"/>
      <c r="Y257" s="285"/>
      <c r="Z257" s="285"/>
      <c r="AG257" s="234">
        <v>149</v>
      </c>
    </row>
    <row r="258" spans="1:33" s="234" customFormat="1" ht="46.5" x14ac:dyDescent="0.35">
      <c r="A258" s="146">
        <v>255</v>
      </c>
      <c r="B258" s="146" t="s">
        <v>489</v>
      </c>
      <c r="C258" s="146" t="s">
        <v>490</v>
      </c>
      <c r="D258" s="146" t="s">
        <v>552</v>
      </c>
      <c r="E258" s="254">
        <f>Таблица191014[[#This Row],[Грунт]]+Таблица191014[[#This Row],[Щебень]]+Таблица191014[[#This Row],[Асфальт]]+Таблица191014[[#This Row],[Бетон]]</f>
        <v>0.87</v>
      </c>
      <c r="F258" s="311"/>
      <c r="G258" s="140">
        <v>0</v>
      </c>
      <c r="H258" s="249">
        <v>0.87</v>
      </c>
      <c r="I258" s="139"/>
      <c r="J258" s="232"/>
      <c r="K258" s="234" t="s">
        <v>558</v>
      </c>
      <c r="N258" s="234" t="b">
        <f>OR(Таблица191014[[#This Row],[Щебень]]&gt;0,Таблица191014[[#This Row],[Асфальт]]&gt;0,Таблица191014[[#This Row],[Бетон]]&gt;0)</f>
        <v>1</v>
      </c>
      <c r="O258" s="234">
        <v>1</v>
      </c>
      <c r="Q258" s="234">
        <v>254</v>
      </c>
      <c r="U258" s="285"/>
      <c r="V258" s="285">
        <f>Таблица191014[[#This Row],[Грунт]]+Таблица191014[[#This Row],[Щебень]]+Таблица191014[[#This Row],[Асфальт]]+Таблица191014[[#This Row],[Бетон]]</f>
        <v>0.87</v>
      </c>
      <c r="W258" s="285"/>
      <c r="X258" s="285"/>
      <c r="Y258" s="285"/>
      <c r="Z258" s="285"/>
      <c r="AG258" s="234">
        <v>150</v>
      </c>
    </row>
    <row r="259" spans="1:33" s="234" customFormat="1" x14ac:dyDescent="0.35">
      <c r="A259" s="146">
        <v>256</v>
      </c>
      <c r="B259" s="146" t="s">
        <v>491</v>
      </c>
      <c r="C259" s="146" t="s">
        <v>492</v>
      </c>
      <c r="D259" s="146" t="s">
        <v>552</v>
      </c>
      <c r="E259" s="254">
        <f>Таблица191014[[#This Row],[Грунт]]+Таблица191014[[#This Row],[Щебень]]+Таблица191014[[#This Row],[Асфальт]]+Таблица191014[[#This Row],[Бетон]]</f>
        <v>0.6</v>
      </c>
      <c r="F259" s="311"/>
      <c r="G259" s="140"/>
      <c r="H259" s="249">
        <v>0.6</v>
      </c>
      <c r="I259" s="139"/>
      <c r="J259" s="232"/>
      <c r="K259" s="234">
        <v>1</v>
      </c>
      <c r="N259" s="234" t="b">
        <f>OR(Таблица191014[[#This Row],[Щебень]]&gt;0,Таблица191014[[#This Row],[Асфальт]]&gt;0,Таблица191014[[#This Row],[Бетон]]&gt;0)</f>
        <v>1</v>
      </c>
      <c r="O259" s="234">
        <v>1</v>
      </c>
      <c r="Q259" s="234">
        <v>255</v>
      </c>
      <c r="U259" s="285"/>
      <c r="V259" s="285">
        <f>Таблица191014[[#This Row],[Грунт]]+Таблица191014[[#This Row],[Щебень]]+Таблица191014[[#This Row],[Асфальт]]+Таблица191014[[#This Row],[Бетон]]</f>
        <v>0.6</v>
      </c>
      <c r="W259" s="285"/>
      <c r="X259" s="285"/>
      <c r="Y259" s="285"/>
      <c r="Z259" s="285"/>
      <c r="AG259" s="234">
        <v>151</v>
      </c>
    </row>
    <row r="260" spans="1:33" s="234" customFormat="1" x14ac:dyDescent="0.35">
      <c r="A260" s="146">
        <v>257</v>
      </c>
      <c r="B260" s="146" t="s">
        <v>493</v>
      </c>
      <c r="C260" s="146" t="s">
        <v>494</v>
      </c>
      <c r="D260" s="146" t="s">
        <v>552</v>
      </c>
      <c r="E260" s="254">
        <f>Таблица191014[[#This Row],[Грунт]]+Таблица191014[[#This Row],[Щебень]]+Таблица191014[[#This Row],[Асфальт]]+Таблица191014[[#This Row],[Бетон]]</f>
        <v>1.2</v>
      </c>
      <c r="F260" s="311"/>
      <c r="G260" s="140"/>
      <c r="H260" s="249">
        <v>1.2</v>
      </c>
      <c r="I260" s="139"/>
      <c r="J260" s="232"/>
      <c r="K260" s="234" t="s">
        <v>558</v>
      </c>
      <c r="N260" s="234" t="b">
        <f>OR(Таблица191014[[#This Row],[Щебень]]&gt;0,Таблица191014[[#This Row],[Асфальт]]&gt;0,Таблица191014[[#This Row],[Бетон]]&gt;0)</f>
        <v>1</v>
      </c>
      <c r="O260" s="234">
        <v>1</v>
      </c>
      <c r="Q260" s="234">
        <v>256</v>
      </c>
      <c r="U260" s="285"/>
      <c r="V260" s="285">
        <f>Таблица191014[[#This Row],[Грунт]]+Таблица191014[[#This Row],[Щебень]]+Таблица191014[[#This Row],[Асфальт]]+Таблица191014[[#This Row],[Бетон]]</f>
        <v>1.2</v>
      </c>
      <c r="W260" s="285"/>
      <c r="X260" s="285"/>
      <c r="Y260" s="285"/>
      <c r="Z260" s="285"/>
      <c r="AG260" s="234">
        <v>152</v>
      </c>
    </row>
    <row r="261" spans="1:33" s="234" customFormat="1" ht="46.5" x14ac:dyDescent="0.35">
      <c r="A261" s="146">
        <v>258</v>
      </c>
      <c r="B261" s="146" t="s">
        <v>495</v>
      </c>
      <c r="C261" s="146" t="s">
        <v>496</v>
      </c>
      <c r="D261" s="146" t="s">
        <v>552</v>
      </c>
      <c r="E261" s="254">
        <f>Таблица191014[[#This Row],[Грунт]]+Таблица191014[[#This Row],[Щебень]]+Таблица191014[[#This Row],[Асфальт]]+Таблица191014[[#This Row],[Бетон]]</f>
        <v>0.77</v>
      </c>
      <c r="F261" s="311"/>
      <c r="G261" s="140"/>
      <c r="H261" s="249">
        <v>0.77</v>
      </c>
      <c r="I261" s="139"/>
      <c r="J261" s="232"/>
      <c r="K261" s="234" t="s">
        <v>558</v>
      </c>
      <c r="N261" s="234" t="b">
        <f>OR(Таблица191014[[#This Row],[Щебень]]&gt;0,Таблица191014[[#This Row],[Асфальт]]&gt;0,Таблица191014[[#This Row],[Бетон]]&gt;0)</f>
        <v>1</v>
      </c>
      <c r="O261" s="234">
        <v>1</v>
      </c>
      <c r="Q261" s="234">
        <v>257</v>
      </c>
      <c r="U261" s="285"/>
      <c r="V261" s="285">
        <f>Таблица191014[[#This Row],[Грунт]]+Таблица191014[[#This Row],[Щебень]]+Таблица191014[[#This Row],[Асфальт]]+Таблица191014[[#This Row],[Бетон]]</f>
        <v>0.77</v>
      </c>
      <c r="W261" s="285"/>
      <c r="X261" s="285"/>
      <c r="Y261" s="285"/>
      <c r="Z261" s="285"/>
      <c r="AG261" s="234">
        <v>153</v>
      </c>
    </row>
    <row r="262" spans="1:33" s="234" customFormat="1" ht="46.5" x14ac:dyDescent="0.35">
      <c r="A262" s="146">
        <v>259</v>
      </c>
      <c r="B262" s="146" t="s">
        <v>497</v>
      </c>
      <c r="C262" s="146" t="s">
        <v>498</v>
      </c>
      <c r="D262" s="146" t="s">
        <v>552</v>
      </c>
      <c r="E262" s="254">
        <f>Таблица191014[[#This Row],[Грунт]]+Таблица191014[[#This Row],[Щебень]]+Таблица191014[[#This Row],[Асфальт]]+Таблица191014[[#This Row],[Бетон]]</f>
        <v>0.38900000000000001</v>
      </c>
      <c r="F262" s="311"/>
      <c r="G262" s="140"/>
      <c r="H262" s="249">
        <v>0.38900000000000001</v>
      </c>
      <c r="I262" s="139"/>
      <c r="J262" s="232"/>
      <c r="K262" s="234" t="s">
        <v>558</v>
      </c>
      <c r="N262" s="234" t="b">
        <f>OR(Таблица191014[[#This Row],[Щебень]]&gt;0,Таблица191014[[#This Row],[Асфальт]]&gt;0,Таблица191014[[#This Row],[Бетон]]&gt;0)</f>
        <v>1</v>
      </c>
      <c r="O262" s="234">
        <v>1</v>
      </c>
      <c r="P262" s="234">
        <f>0.6-Таблица191014[[#This Row],[Протяженность(км)]]</f>
        <v>0.21099999999999997</v>
      </c>
      <c r="Q262" s="234">
        <v>258</v>
      </c>
      <c r="U262" s="285"/>
      <c r="V262" s="285">
        <f>Таблица191014[[#This Row],[Грунт]]+Таблица191014[[#This Row],[Щебень]]+Таблица191014[[#This Row],[Асфальт]]+Таблица191014[[#This Row],[Бетон]]</f>
        <v>0.38900000000000001</v>
      </c>
      <c r="W262" s="285"/>
      <c r="X262" s="285"/>
      <c r="Y262" s="285"/>
      <c r="Z262" s="285"/>
      <c r="AG262" s="234">
        <v>154</v>
      </c>
    </row>
    <row r="263" spans="1:33" s="234" customFormat="1" ht="46.5" x14ac:dyDescent="0.35">
      <c r="A263" s="146">
        <v>260</v>
      </c>
      <c r="B263" s="146" t="s">
        <v>499</v>
      </c>
      <c r="C263" s="146" t="s">
        <v>500</v>
      </c>
      <c r="D263" s="146" t="s">
        <v>552</v>
      </c>
      <c r="E263" s="254">
        <f>Таблица191014[[#This Row],[Грунт]]+Таблица191014[[#This Row],[Щебень]]+Таблица191014[[#This Row],[Асфальт]]+Таблица191014[[#This Row],[Бетон]]</f>
        <v>0.499</v>
      </c>
      <c r="F263" s="311"/>
      <c r="G263" s="140">
        <v>0</v>
      </c>
      <c r="H263" s="249">
        <v>0.499</v>
      </c>
      <c r="I263" s="139"/>
      <c r="J263" s="232"/>
      <c r="K263" s="234" t="s">
        <v>558</v>
      </c>
      <c r="N263" s="234" t="b">
        <f>OR(Таблица191014[[#This Row],[Щебень]]&gt;0,Таблица191014[[#This Row],[Асфальт]]&gt;0,Таблица191014[[#This Row],[Бетон]]&gt;0)</f>
        <v>1</v>
      </c>
      <c r="O263" s="234">
        <v>1</v>
      </c>
      <c r="Q263" s="234">
        <v>259</v>
      </c>
      <c r="U263" s="285"/>
      <c r="V263" s="285">
        <f>Таблица191014[[#This Row],[Грунт]]+Таблица191014[[#This Row],[Щебень]]+Таблица191014[[#This Row],[Асфальт]]+Таблица191014[[#This Row],[Бетон]]</f>
        <v>0.499</v>
      </c>
      <c r="W263" s="285"/>
      <c r="X263" s="285"/>
      <c r="Y263" s="285"/>
      <c r="Z263" s="285"/>
      <c r="AG263" s="234">
        <v>155</v>
      </c>
    </row>
    <row r="264" spans="1:33" s="234" customFormat="1" ht="46.5" x14ac:dyDescent="0.35">
      <c r="A264" s="146">
        <v>261</v>
      </c>
      <c r="B264" s="146" t="s">
        <v>501</v>
      </c>
      <c r="C264" s="146" t="s">
        <v>502</v>
      </c>
      <c r="D264" s="146" t="s">
        <v>552</v>
      </c>
      <c r="E264" s="254">
        <f>Таблица191014[[#This Row],[Грунт]]+Таблица191014[[#This Row],[Щебень]]+Таблица191014[[#This Row],[Асфальт]]+Таблица191014[[#This Row],[Бетон]]</f>
        <v>0.66700000000000004</v>
      </c>
      <c r="F264" s="311"/>
      <c r="G264" s="140">
        <v>0</v>
      </c>
      <c r="H264" s="249">
        <v>0.66700000000000004</v>
      </c>
      <c r="I264" s="139"/>
      <c r="J264" s="232"/>
      <c r="K264" s="234" t="s">
        <v>558</v>
      </c>
      <c r="N264" s="234" t="b">
        <f>OR(Таблица191014[[#This Row],[Щебень]]&gt;0,Таблица191014[[#This Row],[Асфальт]]&gt;0,Таблица191014[[#This Row],[Бетон]]&gt;0)</f>
        <v>1</v>
      </c>
      <c r="O264" s="234">
        <v>1</v>
      </c>
      <c r="Q264" s="234">
        <v>260</v>
      </c>
      <c r="U264" s="285"/>
      <c r="V264" s="285">
        <f>Таблица191014[[#This Row],[Грунт]]+Таблица191014[[#This Row],[Щебень]]+Таблица191014[[#This Row],[Асфальт]]+Таблица191014[[#This Row],[Бетон]]</f>
        <v>0.66700000000000004</v>
      </c>
      <c r="W264" s="285"/>
      <c r="X264" s="285"/>
      <c r="Y264" s="285"/>
      <c r="Z264" s="285"/>
      <c r="AG264" s="234">
        <v>156</v>
      </c>
    </row>
    <row r="265" spans="1:33" s="234" customFormat="1" x14ac:dyDescent="0.35">
      <c r="A265" s="146">
        <v>262</v>
      </c>
      <c r="B265" s="146" t="s">
        <v>503</v>
      </c>
      <c r="C265" s="146" t="s">
        <v>504</v>
      </c>
      <c r="D265" s="146" t="s">
        <v>552</v>
      </c>
      <c r="E265" s="254">
        <f>Таблица191014[[#This Row],[Грунт]]+Таблица191014[[#This Row],[Щебень]]+Таблица191014[[#This Row],[Асфальт]]+Таблица191014[[#This Row],[Бетон]]</f>
        <v>0.7</v>
      </c>
      <c r="F265" s="311"/>
      <c r="G265" s="140">
        <v>0.7</v>
      </c>
      <c r="H265" s="249"/>
      <c r="I265" s="139"/>
      <c r="J265" s="232"/>
      <c r="K265" s="234">
        <v>1</v>
      </c>
      <c r="N265" s="234" t="b">
        <f>OR(Таблица191014[[#This Row],[Щебень]]&gt;0,Таблица191014[[#This Row],[Асфальт]]&gt;0,Таблица191014[[#This Row],[Бетон]]&gt;0)</f>
        <v>1</v>
      </c>
      <c r="O265" s="234">
        <v>1</v>
      </c>
      <c r="Q265" s="234">
        <v>261</v>
      </c>
      <c r="U265" s="285"/>
      <c r="V265" s="285">
        <f>Таблица191014[[#This Row],[Грунт]]+Таблица191014[[#This Row],[Щебень]]+Таблица191014[[#This Row],[Асфальт]]+Таблица191014[[#This Row],[Бетон]]</f>
        <v>0.7</v>
      </c>
      <c r="W265" s="285"/>
      <c r="X265" s="285"/>
      <c r="Y265" s="285"/>
      <c r="Z265" s="285"/>
      <c r="AG265" s="234">
        <v>157</v>
      </c>
    </row>
    <row r="266" spans="1:33" s="234" customFormat="1" ht="46.5" x14ac:dyDescent="0.35">
      <c r="A266" s="146">
        <v>263</v>
      </c>
      <c r="B266" s="146" t="s">
        <v>505</v>
      </c>
      <c r="C266" s="146" t="s">
        <v>506</v>
      </c>
      <c r="D266" s="146" t="s">
        <v>552</v>
      </c>
      <c r="E266" s="254">
        <f>Таблица191014[[#This Row],[Грунт]]+Таблица191014[[#This Row],[Щебень]]+Таблица191014[[#This Row],[Асфальт]]+Таблица191014[[#This Row],[Бетон]]</f>
        <v>0.7</v>
      </c>
      <c r="F266" s="311"/>
      <c r="G266" s="140"/>
      <c r="H266" s="249">
        <v>0.7</v>
      </c>
      <c r="I266" s="139"/>
      <c r="J266" s="232"/>
      <c r="K266" s="234">
        <v>1</v>
      </c>
      <c r="N266" s="234" t="b">
        <f>OR(Таблица191014[[#This Row],[Щебень]]&gt;0,Таблица191014[[#This Row],[Асфальт]]&gt;0,Таблица191014[[#This Row],[Бетон]]&gt;0)</f>
        <v>1</v>
      </c>
      <c r="O266" s="234">
        <v>1</v>
      </c>
      <c r="Q266" s="234">
        <v>262</v>
      </c>
      <c r="U266" s="285"/>
      <c r="V266" s="285">
        <f>Таблица191014[[#This Row],[Грунт]]+Таблица191014[[#This Row],[Щебень]]+Таблица191014[[#This Row],[Асфальт]]+Таблица191014[[#This Row],[Бетон]]</f>
        <v>0.7</v>
      </c>
      <c r="W266" s="285"/>
      <c r="X266" s="285"/>
      <c r="Y266" s="285"/>
      <c r="Z266" s="285"/>
      <c r="AG266" s="234">
        <v>158</v>
      </c>
    </row>
    <row r="267" spans="1:33" s="234" customFormat="1" ht="46.5" x14ac:dyDescent="0.35">
      <c r="A267" s="146">
        <v>264</v>
      </c>
      <c r="B267" s="146" t="s">
        <v>507</v>
      </c>
      <c r="C267" s="146" t="s">
        <v>508</v>
      </c>
      <c r="D267" s="146" t="s">
        <v>552</v>
      </c>
      <c r="E267" s="254">
        <f>Таблица191014[[#This Row],[Грунт]]+Таблица191014[[#This Row],[Щебень]]+Таблица191014[[#This Row],[Асфальт]]+Таблица191014[[#This Row],[Бетон]]</f>
        <v>0.98599999999999999</v>
      </c>
      <c r="F267" s="311"/>
      <c r="G267" s="247"/>
      <c r="H267" s="249">
        <v>0.98599999999999999</v>
      </c>
      <c r="I267" s="139"/>
      <c r="J267" s="232"/>
      <c r="K267" s="234" t="s">
        <v>558</v>
      </c>
      <c r="N267" s="234" t="b">
        <f>OR(Таблица191014[[#This Row],[Щебень]]&gt;0,Таблица191014[[#This Row],[Асфальт]]&gt;0,Таблица191014[[#This Row],[Бетон]]&gt;0)</f>
        <v>1</v>
      </c>
      <c r="O267" s="234">
        <v>1</v>
      </c>
      <c r="Q267" s="234">
        <v>263</v>
      </c>
      <c r="U267" s="285"/>
      <c r="V267" s="285">
        <f>Таблица191014[[#This Row],[Грунт]]+Таблица191014[[#This Row],[Щебень]]+Таблица191014[[#This Row],[Асфальт]]+Таблица191014[[#This Row],[Бетон]]</f>
        <v>0.98599999999999999</v>
      </c>
      <c r="W267" s="285"/>
      <c r="X267" s="285"/>
      <c r="Y267" s="285"/>
      <c r="Z267" s="285"/>
      <c r="AG267" s="234">
        <v>159</v>
      </c>
    </row>
    <row r="268" spans="1:33" s="234" customFormat="1" x14ac:dyDescent="0.35">
      <c r="A268" s="146">
        <v>265</v>
      </c>
      <c r="B268" s="146" t="s">
        <v>509</v>
      </c>
      <c r="C268" s="146" t="s">
        <v>510</v>
      </c>
      <c r="D268" s="146" t="s">
        <v>552</v>
      </c>
      <c r="E268" s="254">
        <f>Таблица191014[[#This Row],[Грунт]]+Таблица191014[[#This Row],[Щебень]]+Таблица191014[[#This Row],[Асфальт]]+Таблица191014[[#This Row],[Бетон]]</f>
        <v>0.8</v>
      </c>
      <c r="F268" s="311">
        <v>0.8</v>
      </c>
      <c r="G268" s="140"/>
      <c r="H268" s="249"/>
      <c r="I268" s="139"/>
      <c r="J268" s="232"/>
      <c r="K268" s="234">
        <v>1</v>
      </c>
      <c r="N268" s="234" t="b">
        <f>OR(Таблица191014[[#This Row],[Щебень]]&gt;0,Таблица191014[[#This Row],[Асфальт]]&gt;0,Таблица191014[[#This Row],[Бетон]]&gt;0)</f>
        <v>0</v>
      </c>
      <c r="Q268" s="234">
        <v>264</v>
      </c>
      <c r="U268" s="285"/>
      <c r="V268" s="285">
        <f>Таблица191014[[#This Row],[Грунт]]+Таблица191014[[#This Row],[Щебень]]+Таблица191014[[#This Row],[Асфальт]]+Таблица191014[[#This Row],[Бетон]]</f>
        <v>0.8</v>
      </c>
      <c r="W268" s="285"/>
      <c r="X268" s="285"/>
      <c r="Y268" s="285"/>
      <c r="Z268" s="285"/>
      <c r="AG268" s="234">
        <v>160</v>
      </c>
    </row>
    <row r="269" spans="1:33" s="234" customFormat="1" x14ac:dyDescent="0.35">
      <c r="A269" s="146">
        <v>266</v>
      </c>
      <c r="B269" s="146" t="s">
        <v>511</v>
      </c>
      <c r="C269" s="146" t="s">
        <v>512</v>
      </c>
      <c r="D269" s="146" t="s">
        <v>552</v>
      </c>
      <c r="E269" s="254">
        <f>Таблица191014[[#This Row],[Грунт]]+Таблица191014[[#This Row],[Щебень]]+Таблица191014[[#This Row],[Асфальт]]+Таблица191014[[#This Row],[Бетон]]</f>
        <v>1.4</v>
      </c>
      <c r="F269" s="311"/>
      <c r="G269" s="140"/>
      <c r="H269" s="249">
        <v>1.4</v>
      </c>
      <c r="I269" s="139"/>
      <c r="J269" s="232"/>
      <c r="K269" s="234" t="s">
        <v>558</v>
      </c>
      <c r="N269" s="234" t="b">
        <f>OR(Таблица191014[[#This Row],[Щебень]]&gt;0,Таблица191014[[#This Row],[Асфальт]]&gt;0,Таблица191014[[#This Row],[Бетон]]&gt;0)</f>
        <v>1</v>
      </c>
      <c r="O269" s="234">
        <v>1</v>
      </c>
      <c r="Q269" s="234">
        <v>265</v>
      </c>
      <c r="U269" s="285"/>
      <c r="V269" s="285">
        <f>Таблица191014[[#This Row],[Грунт]]+Таблица191014[[#This Row],[Щебень]]+Таблица191014[[#This Row],[Асфальт]]+Таблица191014[[#This Row],[Бетон]]</f>
        <v>1.4</v>
      </c>
      <c r="W269" s="285"/>
      <c r="X269" s="285"/>
      <c r="Y269" s="285"/>
      <c r="Z269" s="285"/>
      <c r="AG269" s="234">
        <v>161</v>
      </c>
    </row>
    <row r="270" spans="1:33" s="234" customFormat="1" ht="46.5" x14ac:dyDescent="0.35">
      <c r="A270" s="146">
        <v>267</v>
      </c>
      <c r="B270" s="146" t="s">
        <v>513</v>
      </c>
      <c r="C270" s="146" t="s">
        <v>514</v>
      </c>
      <c r="D270" s="146" t="s">
        <v>552</v>
      </c>
      <c r="E270" s="254">
        <f>Таблица191014[[#This Row],[Грунт]]+Таблица191014[[#This Row],[Щебень]]+Таблица191014[[#This Row],[Асфальт]]+Таблица191014[[#This Row],[Бетон]]</f>
        <v>1</v>
      </c>
      <c r="F270" s="311"/>
      <c r="G270" s="140"/>
      <c r="H270" s="249">
        <v>1</v>
      </c>
      <c r="I270" s="139"/>
      <c r="J270" s="232"/>
      <c r="K270" s="234" t="s">
        <v>558</v>
      </c>
      <c r="N270" s="234" t="b">
        <f>OR(Таблица191014[[#This Row],[Щебень]]&gt;0,Таблица191014[[#This Row],[Асфальт]]&gt;0,Таблица191014[[#This Row],[Бетон]]&gt;0)</f>
        <v>1</v>
      </c>
      <c r="O270" s="234">
        <v>1</v>
      </c>
      <c r="Q270" s="234">
        <v>266</v>
      </c>
      <c r="U270" s="285"/>
      <c r="V270" s="285">
        <f>Таблица191014[[#This Row],[Грунт]]+Таблица191014[[#This Row],[Щебень]]+Таблица191014[[#This Row],[Асфальт]]+Таблица191014[[#This Row],[Бетон]]</f>
        <v>1</v>
      </c>
      <c r="W270" s="285"/>
      <c r="X270" s="285"/>
      <c r="Y270" s="285"/>
      <c r="Z270" s="285"/>
      <c r="AG270" s="234">
        <v>162</v>
      </c>
    </row>
    <row r="271" spans="1:33" s="234" customFormat="1" x14ac:dyDescent="0.35">
      <c r="A271" s="146">
        <v>268</v>
      </c>
      <c r="B271" s="146" t="s">
        <v>515</v>
      </c>
      <c r="C271" s="146" t="s">
        <v>516</v>
      </c>
      <c r="D271" s="146" t="s">
        <v>552</v>
      </c>
      <c r="E271" s="254">
        <v>0.76800000000000002</v>
      </c>
      <c r="F271" s="311">
        <v>1.7999999999999999E-2</v>
      </c>
      <c r="G271" s="140"/>
      <c r="H271" s="249">
        <v>0.75</v>
      </c>
      <c r="I271" s="139"/>
      <c r="J271" s="232"/>
      <c r="K271" s="234" t="s">
        <v>558</v>
      </c>
      <c r="N271" s="234" t="b">
        <f>OR(Таблица191014[[#This Row],[Щебень]]&gt;0,Таблица191014[[#This Row],[Асфальт]]&gt;0,Таблица191014[[#This Row],[Бетон]]&gt;0)</f>
        <v>1</v>
      </c>
      <c r="O271" s="234">
        <v>1</v>
      </c>
      <c r="Q271" s="234">
        <v>267</v>
      </c>
      <c r="U271" s="285"/>
      <c r="V271" s="285">
        <f>Таблица191014[[#This Row],[Грунт]]+Таблица191014[[#This Row],[Щебень]]+Таблица191014[[#This Row],[Асфальт]]+Таблица191014[[#This Row],[Бетон]]</f>
        <v>0.76800000000000002</v>
      </c>
      <c r="W271" s="285"/>
      <c r="X271" s="285"/>
      <c r="Y271" s="285"/>
      <c r="Z271" s="285"/>
      <c r="AG271" s="234">
        <v>163</v>
      </c>
    </row>
    <row r="272" spans="1:33" s="234" customFormat="1" ht="46.5" x14ac:dyDescent="0.35">
      <c r="A272" s="146">
        <v>269</v>
      </c>
      <c r="B272" s="146" t="s">
        <v>517</v>
      </c>
      <c r="C272" s="146" t="s">
        <v>518</v>
      </c>
      <c r="D272" s="146" t="s">
        <v>552</v>
      </c>
      <c r="E272" s="254">
        <f>Таблица191014[[#This Row],[Грунт]]+Таблица191014[[#This Row],[Щебень]]+Таблица191014[[#This Row],[Асфальт]]+Таблица191014[[#This Row],[Бетон]]</f>
        <v>0.3</v>
      </c>
      <c r="F272" s="311">
        <v>0</v>
      </c>
      <c r="G272" s="140"/>
      <c r="H272" s="249">
        <v>0.3</v>
      </c>
      <c r="I272" s="139"/>
      <c r="J272" s="232" t="s">
        <v>800</v>
      </c>
      <c r="K272" s="234">
        <v>1</v>
      </c>
      <c r="N272" s="234" t="b">
        <f>OR(Таблица191014[[#This Row],[Щебень]]&gt;0,Таблица191014[[#This Row],[Асфальт]]&gt;0,Таблица191014[[#This Row],[Бетон]]&gt;0)</f>
        <v>1</v>
      </c>
      <c r="Q272" s="234">
        <v>268</v>
      </c>
      <c r="U272" s="285"/>
      <c r="V272" s="285">
        <f>Таблица191014[[#This Row],[Грунт]]+Таблица191014[[#This Row],[Щебень]]+Таблица191014[[#This Row],[Асфальт]]+Таблица191014[[#This Row],[Бетон]]</f>
        <v>0.3</v>
      </c>
      <c r="W272" s="285"/>
      <c r="X272" s="285"/>
      <c r="Y272" s="285"/>
      <c r="Z272" s="285"/>
      <c r="AG272" s="234">
        <v>164</v>
      </c>
    </row>
    <row r="273" spans="1:33" s="234" customFormat="1" x14ac:dyDescent="0.35">
      <c r="A273" s="146">
        <v>270</v>
      </c>
      <c r="B273" s="146" t="s">
        <v>519</v>
      </c>
      <c r="C273" s="146" t="s">
        <v>520</v>
      </c>
      <c r="D273" s="146" t="s">
        <v>552</v>
      </c>
      <c r="E273" s="254">
        <f>Таблица191014[[#This Row],[Грунт]]+Таблица191014[[#This Row],[Щебень]]+Таблица191014[[#This Row],[Асфальт]]+Таблица191014[[#This Row],[Бетон]]</f>
        <v>0.1</v>
      </c>
      <c r="F273" s="311"/>
      <c r="G273" s="140"/>
      <c r="H273" s="249">
        <v>0.1</v>
      </c>
      <c r="I273" s="139"/>
      <c r="J273" s="232" t="s">
        <v>800</v>
      </c>
      <c r="K273" s="234">
        <v>1</v>
      </c>
      <c r="N273" s="234" t="b">
        <f>OR(Таблица191014[[#This Row],[Щебень]]&gt;0,Таблица191014[[#This Row],[Асфальт]]&gt;0,Таблица191014[[#This Row],[Бетон]]&gt;0)</f>
        <v>1</v>
      </c>
      <c r="Q273" s="234">
        <v>269</v>
      </c>
      <c r="U273" s="285"/>
      <c r="V273" s="285">
        <f>Таблица191014[[#This Row],[Грунт]]+Таблица191014[[#This Row],[Щебень]]+Таблица191014[[#This Row],[Асфальт]]+Таблица191014[[#This Row],[Бетон]]</f>
        <v>0.1</v>
      </c>
      <c r="W273" s="285"/>
      <c r="X273" s="285"/>
      <c r="Y273" s="285"/>
      <c r="Z273" s="285"/>
      <c r="AG273" s="234">
        <v>165</v>
      </c>
    </row>
    <row r="274" spans="1:33" s="234" customFormat="1" ht="46.5" x14ac:dyDescent="0.35">
      <c r="A274" s="146">
        <v>271</v>
      </c>
      <c r="B274" s="146" t="s">
        <v>521</v>
      </c>
      <c r="C274" s="146" t="s">
        <v>522</v>
      </c>
      <c r="D274" s="146" t="s">
        <v>552</v>
      </c>
      <c r="E274" s="254">
        <f>Таблица191014[[#This Row],[Грунт]]+Таблица191014[[#This Row],[Щебень]]+Таблица191014[[#This Row],[Асфальт]]+Таблица191014[[#This Row],[Бетон]]</f>
        <v>0.4</v>
      </c>
      <c r="F274" s="311"/>
      <c r="G274" s="140">
        <v>0</v>
      </c>
      <c r="H274" s="249">
        <v>0.4</v>
      </c>
      <c r="I274" s="139"/>
      <c r="J274" s="232" t="s">
        <v>800</v>
      </c>
      <c r="K274" s="234">
        <v>1</v>
      </c>
      <c r="N274" s="234" t="b">
        <f>OR(Таблица191014[[#This Row],[Щебень]]&gt;0,Таблица191014[[#This Row],[Асфальт]]&gt;0,Таблица191014[[#This Row],[Бетон]]&gt;0)</f>
        <v>1</v>
      </c>
      <c r="O274" s="234">
        <v>1</v>
      </c>
      <c r="Q274" s="234">
        <v>270</v>
      </c>
      <c r="U274" s="285"/>
      <c r="V274" s="285">
        <f>Таблица191014[[#This Row],[Грунт]]+Таблица191014[[#This Row],[Щебень]]+Таблица191014[[#This Row],[Асфальт]]+Таблица191014[[#This Row],[Бетон]]</f>
        <v>0.4</v>
      </c>
      <c r="W274" s="285"/>
      <c r="X274" s="285"/>
      <c r="Y274" s="285"/>
      <c r="Z274" s="285"/>
      <c r="AG274" s="234">
        <v>166</v>
      </c>
    </row>
    <row r="275" spans="1:33" s="234" customFormat="1" x14ac:dyDescent="0.35">
      <c r="A275" s="146">
        <v>272</v>
      </c>
      <c r="B275" s="146" t="s">
        <v>523</v>
      </c>
      <c r="C275" s="146" t="s">
        <v>524</v>
      </c>
      <c r="D275" s="146" t="s">
        <v>552</v>
      </c>
      <c r="E275" s="254">
        <f>Таблица191014[[#This Row],[Грунт]]+Таблица191014[[#This Row],[Щебень]]+Таблица191014[[#This Row],[Асфальт]]+Таблица191014[[#This Row],[Бетон]]</f>
        <v>1.7190000000000001</v>
      </c>
      <c r="F275" s="311">
        <v>1.7190000000000001</v>
      </c>
      <c r="G275" s="140"/>
      <c r="H275" s="249"/>
      <c r="I275" s="139"/>
      <c r="J275" s="232"/>
      <c r="K275" s="234">
        <v>1</v>
      </c>
      <c r="N275" s="234" t="b">
        <f>OR(Таблица191014[[#This Row],[Щебень]]&gt;0,Таблица191014[[#This Row],[Асфальт]]&gt;0,Таблица191014[[#This Row],[Бетон]]&gt;0)</f>
        <v>0</v>
      </c>
      <c r="Q275" s="234">
        <v>271</v>
      </c>
      <c r="U275" s="285"/>
      <c r="V275" s="285">
        <f>Таблица191014[[#This Row],[Грунт]]+Таблица191014[[#This Row],[Щебень]]+Таблица191014[[#This Row],[Асфальт]]+Таблица191014[[#This Row],[Бетон]]</f>
        <v>1.7190000000000001</v>
      </c>
      <c r="W275" s="285"/>
      <c r="X275" s="285"/>
      <c r="Y275" s="285"/>
      <c r="Z275" s="285"/>
      <c r="AG275" s="234">
        <v>167</v>
      </c>
    </row>
    <row r="276" spans="1:33" s="234" customFormat="1" x14ac:dyDescent="0.35">
      <c r="A276" s="146">
        <v>273</v>
      </c>
      <c r="B276" s="146" t="s">
        <v>553</v>
      </c>
      <c r="C276" s="146" t="s">
        <v>554</v>
      </c>
      <c r="D276" s="146" t="s">
        <v>552</v>
      </c>
      <c r="E276" s="254">
        <f>Таблица191014[[#This Row],[Грунт]]+Таблица191014[[#This Row],[Щебень]]+Таблица191014[[#This Row],[Асфальт]]+Таблица191014[[#This Row],[Бетон]]</f>
        <v>3</v>
      </c>
      <c r="F276" s="311">
        <v>2.1</v>
      </c>
      <c r="G276" s="293">
        <v>0.9</v>
      </c>
      <c r="H276" s="249"/>
      <c r="I276" s="139"/>
      <c r="J276" s="232"/>
      <c r="K276" s="234" t="s">
        <v>557</v>
      </c>
      <c r="N276" s="234" t="b">
        <f>OR(Таблица191014[[#This Row],[Щебень]]&gt;0,Таблица191014[[#This Row],[Асфальт]]&gt;0,Таблица191014[[#This Row],[Бетон]]&gt;0)</f>
        <v>1</v>
      </c>
      <c r="O276" s="234">
        <v>1</v>
      </c>
      <c r="Q276" s="234">
        <v>272</v>
      </c>
      <c r="U276" s="285"/>
      <c r="V276" s="285">
        <f>Таблица191014[[#This Row],[Грунт]]+Таблица191014[[#This Row],[Щебень]]+Таблица191014[[#This Row],[Асфальт]]+Таблица191014[[#This Row],[Бетон]]</f>
        <v>3</v>
      </c>
      <c r="W276" s="285"/>
      <c r="X276" s="285"/>
      <c r="Y276" s="285"/>
      <c r="Z276" s="285"/>
      <c r="AG276" s="234">
        <v>168</v>
      </c>
    </row>
    <row r="277" spans="1:33" s="234" customFormat="1" x14ac:dyDescent="0.35">
      <c r="A277" s="146">
        <v>274</v>
      </c>
      <c r="B277" s="146" t="s">
        <v>525</v>
      </c>
      <c r="C277" s="146" t="s">
        <v>526</v>
      </c>
      <c r="D277" s="146" t="s">
        <v>552</v>
      </c>
      <c r="E277" s="254">
        <f>Таблица191014[[#This Row],[Грунт]]+Таблица191014[[#This Row],[Щебень]]+Таблица191014[[#This Row],[Асфальт]]+Таблица191014[[#This Row],[Бетон]]</f>
        <v>6.6</v>
      </c>
      <c r="F277" s="311">
        <v>0.7</v>
      </c>
      <c r="G277" s="293">
        <v>0.9</v>
      </c>
      <c r="H277" s="249">
        <v>5</v>
      </c>
      <c r="I277" s="139"/>
      <c r="J277" s="232"/>
      <c r="K277" s="234">
        <v>1</v>
      </c>
      <c r="N277" s="234" t="b">
        <f>OR(Таблица191014[[#This Row],[Щебень]]&gt;0,Таблица191014[[#This Row],[Асфальт]]&gt;0,Таблица191014[[#This Row],[Бетон]]&gt;0)</f>
        <v>1</v>
      </c>
      <c r="O277" s="234">
        <v>1</v>
      </c>
      <c r="Q277" s="234">
        <v>273</v>
      </c>
      <c r="U277" s="285"/>
      <c r="V277" s="285">
        <f>Таблица191014[[#This Row],[Грунт]]+Таблица191014[[#This Row],[Щебень]]+Таблица191014[[#This Row],[Асфальт]]+Таблица191014[[#This Row],[Бетон]]</f>
        <v>6.6</v>
      </c>
      <c r="W277" s="285"/>
      <c r="X277" s="285"/>
      <c r="Y277" s="285"/>
      <c r="Z277" s="285"/>
      <c r="AG277" s="234">
        <v>169</v>
      </c>
    </row>
    <row r="278" spans="1:33" s="234" customFormat="1" x14ac:dyDescent="0.35">
      <c r="A278" s="146">
        <v>275</v>
      </c>
      <c r="B278" s="146" t="s">
        <v>812</v>
      </c>
      <c r="C278" s="146" t="s">
        <v>816</v>
      </c>
      <c r="D278" s="146" t="s">
        <v>552</v>
      </c>
      <c r="E278" s="256">
        <f>Таблица191014[[#This Row],[Грунт]]+Таблица191014[[#This Row],[Щебень]]+Таблица191014[[#This Row],[Асфальт]]+Таблица191014[[#This Row],[Бетон]]</f>
        <v>0.6</v>
      </c>
      <c r="F278" s="311"/>
      <c r="G278" s="293">
        <v>0.6</v>
      </c>
      <c r="H278" s="249"/>
      <c r="I278" s="139"/>
      <c r="J278" s="232"/>
      <c r="K278" s="234">
        <v>1</v>
      </c>
      <c r="N278" s="238" t="b">
        <f>OR(Таблица191014[[#This Row],[Щебень]]&gt;0,Таблица191014[[#This Row],[Асфальт]]&gt;0,Таблица191014[[#This Row],[Бетон]]&gt;0)</f>
        <v>1</v>
      </c>
      <c r="U278" s="285"/>
      <c r="V278" s="285">
        <f>Таблица191014[[#This Row],[Грунт]]+Таблица191014[[#This Row],[Щебень]]+Таблица191014[[#This Row],[Асфальт]]+Таблица191014[[#This Row],[Бетон]]</f>
        <v>0.6</v>
      </c>
      <c r="W278" s="285"/>
      <c r="X278" s="285"/>
      <c r="Y278" s="285"/>
      <c r="Z278" s="285"/>
      <c r="AG278" s="234">
        <v>170</v>
      </c>
    </row>
    <row r="279" spans="1:33" s="234" customFormat="1" x14ac:dyDescent="0.35">
      <c r="A279" s="146">
        <v>276</v>
      </c>
      <c r="B279" s="146" t="s">
        <v>813</v>
      </c>
      <c r="C279" s="146" t="s">
        <v>817</v>
      </c>
      <c r="D279" s="146" t="s">
        <v>552</v>
      </c>
      <c r="E279" s="256">
        <f>Таблица191014[[#This Row],[Грунт]]+Таблица191014[[#This Row],[Щебень]]+Таблица191014[[#This Row],[Асфальт]]+Таблица191014[[#This Row],[Бетон]]</f>
        <v>0.79</v>
      </c>
      <c r="F279" s="311"/>
      <c r="G279" s="293">
        <v>0.79</v>
      </c>
      <c r="H279" s="249"/>
      <c r="I279" s="139"/>
      <c r="J279" s="232"/>
      <c r="K279" s="234">
        <v>1</v>
      </c>
      <c r="N279" s="238" t="b">
        <f>OR(Таблица191014[[#This Row],[Щебень]]&gt;0,Таблица191014[[#This Row],[Асфальт]]&gt;0,Таблица191014[[#This Row],[Бетон]]&gt;0)</f>
        <v>1</v>
      </c>
      <c r="U279" s="285"/>
      <c r="V279" s="285">
        <f>Таблица191014[[#This Row],[Грунт]]+Таблица191014[[#This Row],[Щебень]]+Таблица191014[[#This Row],[Асфальт]]+Таблица191014[[#This Row],[Бетон]]</f>
        <v>0.79</v>
      </c>
      <c r="W279" s="285"/>
      <c r="X279" s="285"/>
      <c r="Y279" s="285"/>
      <c r="Z279" s="285"/>
      <c r="AG279" s="234">
        <v>171</v>
      </c>
    </row>
    <row r="280" spans="1:33" s="234" customFormat="1" ht="46.5" x14ac:dyDescent="0.35">
      <c r="A280" s="146">
        <v>277</v>
      </c>
      <c r="B280" s="146" t="s">
        <v>814</v>
      </c>
      <c r="C280" s="146" t="s">
        <v>818</v>
      </c>
      <c r="D280" s="146" t="s">
        <v>552</v>
      </c>
      <c r="E280" s="256">
        <f>Таблица191014[[#This Row],[Грунт]]+Таблица191014[[#This Row],[Щебень]]+Таблица191014[[#This Row],[Асфальт]]+Таблица191014[[#This Row],[Бетон]]</f>
        <v>0.76</v>
      </c>
      <c r="F280" s="311"/>
      <c r="G280" s="293">
        <v>0.76</v>
      </c>
      <c r="H280" s="249"/>
      <c r="I280" s="139"/>
      <c r="J280" s="232"/>
      <c r="K280" s="234">
        <v>1</v>
      </c>
      <c r="N280" s="238" t="b">
        <f>OR(Таблица191014[[#This Row],[Щебень]]&gt;0,Таблица191014[[#This Row],[Асфальт]]&gt;0,Таблица191014[[#This Row],[Бетон]]&gt;0)</f>
        <v>1</v>
      </c>
      <c r="U280" s="285"/>
      <c r="V280" s="285">
        <f>Таблица191014[[#This Row],[Грунт]]+Таблица191014[[#This Row],[Щебень]]+Таблица191014[[#This Row],[Асфальт]]+Таблица191014[[#This Row],[Бетон]]</f>
        <v>0.76</v>
      </c>
      <c r="W280" s="285"/>
      <c r="X280" s="285"/>
      <c r="Y280" s="285"/>
      <c r="Z280" s="285"/>
      <c r="AG280" s="234">
        <v>172</v>
      </c>
    </row>
    <row r="281" spans="1:33" s="234" customFormat="1" x14ac:dyDescent="0.35">
      <c r="A281" s="146">
        <v>278</v>
      </c>
      <c r="B281" s="146" t="s">
        <v>815</v>
      </c>
      <c r="C281" s="146" t="s">
        <v>819</v>
      </c>
      <c r="D281" s="146" t="s">
        <v>552</v>
      </c>
      <c r="E281" s="256">
        <f>Таблица191014[[#This Row],[Грунт]]+Таблица191014[[#This Row],[Щебень]]+Таблица191014[[#This Row],[Асфальт]]+Таблица191014[[#This Row],[Бетон]]</f>
        <v>0.63</v>
      </c>
      <c r="F281" s="311"/>
      <c r="G281" s="293">
        <v>0.63</v>
      </c>
      <c r="H281" s="249"/>
      <c r="I281" s="139"/>
      <c r="J281" s="232"/>
      <c r="K281" s="234">
        <v>1</v>
      </c>
      <c r="N281" s="238" t="b">
        <f>OR(Таблица191014[[#This Row],[Щебень]]&gt;0,Таблица191014[[#This Row],[Асфальт]]&gt;0,Таблица191014[[#This Row],[Бетон]]&gt;0)</f>
        <v>1</v>
      </c>
      <c r="U281" s="122"/>
      <c r="V281" s="122">
        <f>Таблица191014[[#This Row],[Грунт]]+Таблица191014[[#This Row],[Щебень]]+Таблица191014[[#This Row],[Асфальт]]+Таблица191014[[#This Row],[Бетон]]</f>
        <v>0.63</v>
      </c>
      <c r="W281" s="122"/>
      <c r="X281" s="122"/>
      <c r="Y281" s="122"/>
      <c r="Z281" s="122"/>
      <c r="AG281" s="234">
        <v>173</v>
      </c>
    </row>
    <row r="282" spans="1:33" s="168" customFormat="1" ht="46.5" x14ac:dyDescent="0.35">
      <c r="A282" s="146">
        <v>279</v>
      </c>
      <c r="B282" s="146" t="s">
        <v>839</v>
      </c>
      <c r="C282" s="146" t="s">
        <v>840</v>
      </c>
      <c r="D282" s="146" t="s">
        <v>552</v>
      </c>
      <c r="E282" s="321">
        <v>0.372</v>
      </c>
      <c r="F282" s="311"/>
      <c r="G282" s="247">
        <v>0.372</v>
      </c>
      <c r="H282" s="249"/>
      <c r="I282" s="139"/>
      <c r="J282" s="232"/>
      <c r="K282" s="234">
        <v>1</v>
      </c>
      <c r="L282" s="285"/>
      <c r="M282" s="285"/>
      <c r="N282" s="286" t="b">
        <f>OR(Таблица191014[[#This Row],[Щебень]]&gt;0,Таблица191014[[#This Row],[Асфальт]]&gt;0,Таблица191014[[#This Row],[Бетон]]&gt;0)</f>
        <v>1</v>
      </c>
      <c r="O282" s="285"/>
      <c r="P282" s="285"/>
      <c r="Q282" s="285"/>
      <c r="R282" s="285"/>
      <c r="S282" s="285"/>
      <c r="T282" s="285"/>
      <c r="U282" s="285"/>
      <c r="V282" s="286">
        <f>Таблица191014[[#This Row],[Грунт]]+Таблица191014[[#This Row],[Щебень]]+Таблица191014[[#This Row],[Асфальт]]+Таблица191014[[#This Row],[Бетон]]</f>
        <v>0.372</v>
      </c>
      <c r="W282" s="285"/>
      <c r="X282" s="285"/>
      <c r="Y282" s="285"/>
      <c r="Z282" s="285"/>
    </row>
    <row r="283" spans="1:33" ht="33.75" customHeight="1" x14ac:dyDescent="0.35">
      <c r="A283" s="13" t="s">
        <v>562</v>
      </c>
      <c r="B283" s="13"/>
      <c r="C283" s="13"/>
      <c r="D283" s="13"/>
      <c r="E283" s="120">
        <f>SUBTOTAL(109,Таблица191014[Протяженность(км)])</f>
        <v>485.88499999999993</v>
      </c>
      <c r="F283" s="120">
        <f>SUBTOTAL(109,Таблица191014[Грунт])</f>
        <v>306.65699999999993</v>
      </c>
      <c r="G283" s="120">
        <f>SUBTOTAL(109,Таблица191014[Щебень])</f>
        <v>61.209000000000003</v>
      </c>
      <c r="H283" s="120">
        <f>SUBTOTAL(109,Таблица191014[Асфальт])</f>
        <v>113.25599999999999</v>
      </c>
      <c r="I283" s="120">
        <f>SUBTOTAL(109,Таблица191014[Бетон])</f>
        <v>4.7629999999999999</v>
      </c>
      <c r="J283" s="120">
        <f>SUBTOTAL(109,Таблица191014[Столбец6])</f>
        <v>0</v>
      </c>
      <c r="K283" s="120">
        <f>SUBTOTAL(109,Таблица191014[ПАСПОРТИЗАЦИЯ])</f>
        <v>166</v>
      </c>
      <c r="L283" s="120">
        <f>SUBTOTAL(109,Таблица191014[МЕЖЕВАНИЕ])</f>
        <v>1.45</v>
      </c>
      <c r="M283" s="120">
        <f>SUBTOTAL(109,Таблица191014[Столбец5])</f>
        <v>0</v>
      </c>
      <c r="N283" s="120">
        <f>SUBTOTAL(109,Таблица191014[ФИЛЬТР ПО ТВЕРДОМУ])</f>
        <v>0</v>
      </c>
      <c r="O283" s="15">
        <f>SUBTOTAL(109,Таблица191014[Столбец1])</f>
        <v>104.7</v>
      </c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</row>
    <row r="284" spans="1:33" x14ac:dyDescent="0.35">
      <c r="H284" s="114"/>
      <c r="I284" s="117"/>
      <c r="J284" s="170"/>
    </row>
    <row r="285" spans="1:33" hidden="1" x14ac:dyDescent="0.35">
      <c r="E285" s="15">
        <f>G285/Таблица191014[[#Totals],[Протяженность(км)]]</f>
        <v>0.36880331765747043</v>
      </c>
      <c r="G285" s="15">
        <v>179.196</v>
      </c>
    </row>
    <row r="286" spans="1:33" hidden="1" x14ac:dyDescent="0.35"/>
    <row r="287" spans="1:33" hidden="1" x14ac:dyDescent="0.35"/>
    <row r="288" spans="1:33" hidden="1" x14ac:dyDescent="0.35"/>
    <row r="300" spans="3:3" x14ac:dyDescent="0.35">
      <c r="C300" s="8" t="s">
        <v>570</v>
      </c>
    </row>
  </sheetData>
  <mergeCells count="1">
    <mergeCell ref="E1:I1"/>
  </mergeCells>
  <pageMargins left="0.25" right="0.25" top="0.75" bottom="0.75" header="0.3" footer="0.3"/>
  <pageSetup paperSize="9" scale="41" fitToHeight="0" orientation="portrait" r:id="rId1"/>
  <colBreaks count="1" manualBreakCount="1">
    <brk id="9" max="1048575" man="1"/>
  </colBreaks>
  <legacyDrawing r:id="rId2"/>
  <tableParts count="1"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8D6FBB-5CE4-4F46-9C72-30E973B7FE0C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B9775-D966-43E3-B66F-D91FDF82612A}">
  <dimension ref="A1:AG299"/>
  <sheetViews>
    <sheetView view="pageBreakPreview" topLeftCell="A267" zoomScale="60" zoomScaleNormal="100" workbookViewId="0">
      <selection activeCell="E3" sqref="E3:E281"/>
    </sheetView>
  </sheetViews>
  <sheetFormatPr defaultColWidth="26.7109375" defaultRowHeight="23.25" x14ac:dyDescent="0.35"/>
  <cols>
    <col min="1" max="1" width="8.42578125" style="8" customWidth="1"/>
    <col min="2" max="2" width="30.28515625" style="8" customWidth="1"/>
    <col min="3" max="3" width="74.42578125" style="8" customWidth="1"/>
    <col min="4" max="4" width="27.42578125" style="8" customWidth="1"/>
    <col min="5" max="5" width="23.7109375" style="15" customWidth="1"/>
    <col min="6" max="6" width="15.28515625" style="8" customWidth="1"/>
    <col min="7" max="7" width="14.85546875" style="15" customWidth="1"/>
    <col min="8" max="8" width="20" style="8" customWidth="1"/>
    <col min="9" max="9" width="17.28515625" style="15" customWidth="1"/>
    <col min="10" max="10" width="14" style="169" hidden="1" customWidth="1"/>
    <col min="11" max="11" width="18.7109375" style="8" customWidth="1"/>
    <col min="12" max="13" width="17.7109375" style="8" customWidth="1"/>
    <col min="14" max="14" width="28.5703125" style="8" customWidth="1"/>
    <col min="15" max="16384" width="26.7109375" style="8"/>
  </cols>
  <sheetData>
    <row r="1" spans="1:33" ht="238.5" customHeight="1" x14ac:dyDescent="0.35">
      <c r="E1" s="412" t="s">
        <v>827</v>
      </c>
      <c r="F1" s="412"/>
      <c r="G1" s="412"/>
      <c r="H1" s="412"/>
      <c r="I1" s="412"/>
      <c r="AG1" s="259"/>
    </row>
    <row r="2" spans="1:33" ht="45" x14ac:dyDescent="0.35">
      <c r="A2" s="6" t="s">
        <v>0</v>
      </c>
      <c r="B2" s="6" t="s">
        <v>1</v>
      </c>
      <c r="C2" s="6" t="s">
        <v>2</v>
      </c>
      <c r="D2" s="6" t="s">
        <v>536</v>
      </c>
      <c r="E2" s="6" t="s">
        <v>3</v>
      </c>
      <c r="F2" s="7" t="s">
        <v>528</v>
      </c>
      <c r="G2" s="7" t="s">
        <v>529</v>
      </c>
      <c r="H2" s="7" t="s">
        <v>527</v>
      </c>
      <c r="I2" s="7" t="s">
        <v>535</v>
      </c>
      <c r="J2" s="164" t="s">
        <v>799</v>
      </c>
      <c r="K2" s="7" t="s">
        <v>556</v>
      </c>
      <c r="L2" s="7" t="s">
        <v>559</v>
      </c>
      <c r="M2" s="7" t="s">
        <v>798</v>
      </c>
      <c r="N2" s="7" t="s">
        <v>565</v>
      </c>
      <c r="O2" s="7" t="s">
        <v>566</v>
      </c>
      <c r="P2" s="7" t="s">
        <v>568</v>
      </c>
      <c r="Q2" s="7" t="s">
        <v>794</v>
      </c>
      <c r="R2" s="7" t="s">
        <v>795</v>
      </c>
      <c r="S2" s="231" t="s">
        <v>805</v>
      </c>
      <c r="T2" s="231" t="s">
        <v>806</v>
      </c>
      <c r="U2" s="309" t="s">
        <v>828</v>
      </c>
      <c r="V2" s="309" t="s">
        <v>829</v>
      </c>
      <c r="W2" s="309" t="s">
        <v>830</v>
      </c>
      <c r="X2" s="309" t="s">
        <v>831</v>
      </c>
      <c r="Y2" s="309" t="s">
        <v>832</v>
      </c>
      <c r="Z2" s="309" t="s">
        <v>833</v>
      </c>
    </row>
    <row r="3" spans="1:33" s="234" customFormat="1" x14ac:dyDescent="0.35">
      <c r="A3" s="146">
        <v>1</v>
      </c>
      <c r="B3" s="146" t="s">
        <v>4</v>
      </c>
      <c r="C3" s="146" t="s">
        <v>5</v>
      </c>
      <c r="D3" s="146" t="s">
        <v>547</v>
      </c>
      <c r="E3" s="254">
        <f>Таблица191012[[#This Row],[Грунт]]+Таблица191012[[#This Row],[Щебень]]+Таблица191012[[#This Row],[Асфальт]]+Таблица191012[[#This Row],[Бетон]]</f>
        <v>1.75</v>
      </c>
      <c r="F3" s="311"/>
      <c r="G3" s="140"/>
      <c r="H3" s="249">
        <v>1.75</v>
      </c>
      <c r="I3" s="139"/>
      <c r="J3" s="232"/>
      <c r="K3" s="233" t="s">
        <v>557</v>
      </c>
      <c r="N3" s="234" t="b">
        <f>OR(Таблица191012[[#This Row],[Щебень]]&gt;0,Таблица191012[[#This Row],[Асфальт]]&gt;0,Таблица191012[[#This Row],[Бетон]]&gt;0)</f>
        <v>1</v>
      </c>
      <c r="O3" s="234">
        <v>1</v>
      </c>
      <c r="P3" s="234">
        <v>1</v>
      </c>
      <c r="Q3" s="234">
        <v>1</v>
      </c>
      <c r="S3" s="235"/>
      <c r="T3" s="235"/>
      <c r="U3" s="307"/>
      <c r="V3" s="307">
        <f>Таблица191012[[#This Row],[Грунт]]+Таблица191012[[#This Row],[Щебень]]+Таблица191012[[#This Row],[Асфальт]]+Таблица191012[[#This Row],[Бетон]]</f>
        <v>1.75</v>
      </c>
      <c r="W3" s="307"/>
      <c r="X3" s="307"/>
      <c r="Y3" s="307"/>
      <c r="Z3" s="307"/>
    </row>
    <row r="4" spans="1:33" s="234" customFormat="1" x14ac:dyDescent="0.35">
      <c r="A4" s="146">
        <v>2</v>
      </c>
      <c r="B4" s="146" t="s">
        <v>6</v>
      </c>
      <c r="C4" s="146" t="s">
        <v>7</v>
      </c>
      <c r="D4" s="146" t="s">
        <v>547</v>
      </c>
      <c r="E4" s="254">
        <f>Таблица191012[[#This Row],[Грунт]]+Таблица191012[[#This Row],[Щебень]]+Таблица191012[[#This Row],[Асфальт]]+Таблица191012[[#This Row],[Бетон]]</f>
        <v>0.7</v>
      </c>
      <c r="F4" s="311"/>
      <c r="G4" s="140"/>
      <c r="H4" s="249">
        <v>0.7</v>
      </c>
      <c r="I4" s="139"/>
      <c r="J4" s="232"/>
      <c r="K4" s="233" t="s">
        <v>557</v>
      </c>
      <c r="N4" s="234" t="b">
        <f>OR(Таблица191012[[#This Row],[Щебень]]&gt;0,Таблица191012[[#This Row],[Асфальт]]&gt;0,Таблица191012[[#This Row],[Бетон]]&gt;0)</f>
        <v>1</v>
      </c>
      <c r="O4" s="234">
        <v>1</v>
      </c>
      <c r="P4" s="234">
        <v>1</v>
      </c>
      <c r="Q4" s="234">
        <v>2</v>
      </c>
      <c r="S4" s="235"/>
      <c r="T4" s="235"/>
      <c r="U4" s="306"/>
      <c r="V4" s="306">
        <f>Таблица191012[[#This Row],[Грунт]]+Таблица191012[[#This Row],[Щебень]]+Таблица191012[[#This Row],[Асфальт]]+Таблица191012[[#This Row],[Бетон]]</f>
        <v>0.7</v>
      </c>
      <c r="W4" s="306"/>
      <c r="X4" s="306"/>
      <c r="Y4" s="306"/>
      <c r="Z4" s="306"/>
    </row>
    <row r="5" spans="1:33" s="234" customFormat="1" x14ac:dyDescent="0.35">
      <c r="A5" s="146">
        <v>3</v>
      </c>
      <c r="B5" s="146" t="s">
        <v>8</v>
      </c>
      <c r="C5" s="146" t="s">
        <v>9</v>
      </c>
      <c r="D5" s="146" t="s">
        <v>547</v>
      </c>
      <c r="E5" s="254">
        <f>Таблица191012[[#This Row],[Грунт]]+Таблица191012[[#This Row],[Щебень]]+Таблица191012[[#This Row],[Асфальт]]+Таблица191012[[#This Row],[Бетон]]</f>
        <v>0.8</v>
      </c>
      <c r="F5" s="311">
        <v>0.8</v>
      </c>
      <c r="G5" s="140"/>
      <c r="H5" s="249"/>
      <c r="I5" s="139"/>
      <c r="J5" s="232"/>
      <c r="N5" s="234" t="b">
        <f>OR(Таблица191012[[#This Row],[Щебень]]&gt;0,Таблица191012[[#This Row],[Асфальт]]&gt;0,Таблица191012[[#This Row],[Бетон]]&gt;0)</f>
        <v>0</v>
      </c>
      <c r="Q5" s="234">
        <v>3</v>
      </c>
      <c r="S5" s="235"/>
      <c r="T5" s="235"/>
      <c r="U5" s="306"/>
      <c r="V5" s="306">
        <f>Таблица191012[[#This Row],[Грунт]]+Таблица191012[[#This Row],[Щебень]]+Таблица191012[[#This Row],[Асфальт]]+Таблица191012[[#This Row],[Бетон]]</f>
        <v>0.8</v>
      </c>
      <c r="W5" s="306"/>
      <c r="X5" s="306"/>
      <c r="Y5" s="306"/>
      <c r="Z5" s="306"/>
    </row>
    <row r="6" spans="1:33" s="234" customFormat="1" x14ac:dyDescent="0.35">
      <c r="A6" s="146">
        <v>4</v>
      </c>
      <c r="B6" s="146" t="s">
        <v>10</v>
      </c>
      <c r="C6" s="146" t="s">
        <v>11</v>
      </c>
      <c r="D6" s="146" t="s">
        <v>547</v>
      </c>
      <c r="E6" s="254">
        <f>Таблица191012[[#This Row],[Грунт]]+Таблица191012[[#This Row],[Щебень]]+Таблица191012[[#This Row],[Асфальт]]+Таблица191012[[#This Row],[Бетон]]</f>
        <v>0.2</v>
      </c>
      <c r="F6" s="311">
        <v>0.2</v>
      </c>
      <c r="G6" s="140"/>
      <c r="H6" s="249"/>
      <c r="I6" s="139"/>
      <c r="J6" s="232"/>
      <c r="N6" s="234" t="b">
        <f>OR(Таблица191012[[#This Row],[Щебень]]&gt;0,Таблица191012[[#This Row],[Асфальт]]&gt;0,Таблица191012[[#This Row],[Бетон]]&gt;0)</f>
        <v>0</v>
      </c>
      <c r="Q6" s="234">
        <v>4</v>
      </c>
      <c r="S6" s="235"/>
      <c r="T6" s="235"/>
      <c r="U6" s="306"/>
      <c r="V6" s="306">
        <f>Таблица191012[[#This Row],[Грунт]]+Таблица191012[[#This Row],[Щебень]]+Таблица191012[[#This Row],[Асфальт]]+Таблица191012[[#This Row],[Бетон]]</f>
        <v>0.2</v>
      </c>
      <c r="W6" s="306"/>
      <c r="X6" s="306"/>
      <c r="Y6" s="306"/>
      <c r="Z6" s="306"/>
    </row>
    <row r="7" spans="1:33" s="234" customFormat="1" x14ac:dyDescent="0.35">
      <c r="A7" s="146">
        <v>5</v>
      </c>
      <c r="B7" s="318" t="s">
        <v>12</v>
      </c>
      <c r="C7" s="318" t="s">
        <v>13</v>
      </c>
      <c r="D7" s="318" t="s">
        <v>537</v>
      </c>
      <c r="E7" s="320">
        <f>Таблица191012[[#This Row],[Грунт]]</f>
        <v>2.2999999999999998</v>
      </c>
      <c r="F7" s="319">
        <v>2.2999999999999998</v>
      </c>
      <c r="G7" s="140"/>
      <c r="H7" s="249"/>
      <c r="I7" s="139"/>
      <c r="J7" s="232"/>
      <c r="K7" s="233" t="s">
        <v>557</v>
      </c>
      <c r="N7" s="234" t="b">
        <f>OR(Таблица191012[[#This Row],[Щебень]]&gt;0,Таблица191012[[#This Row],[Асфальт]]&gt;0,Таблица191012[[#This Row],[Бетон]]&gt;0)</f>
        <v>0</v>
      </c>
      <c r="Q7" s="234">
        <v>5</v>
      </c>
      <c r="S7" s="235"/>
      <c r="T7" s="235"/>
      <c r="U7" s="306"/>
      <c r="V7" s="306">
        <f>Таблица191012[[#This Row],[Грунт]]+Таблица191012[[#This Row],[Щебень]]+Таблица191012[[#This Row],[Асфальт]]+Таблица191012[[#This Row],[Бетон]]</f>
        <v>2.2999999999999998</v>
      </c>
      <c r="W7" s="306"/>
      <c r="X7" s="306"/>
      <c r="Y7" s="306"/>
      <c r="Z7" s="306"/>
    </row>
    <row r="8" spans="1:33" s="234" customFormat="1" x14ac:dyDescent="0.35">
      <c r="A8" s="146">
        <v>6</v>
      </c>
      <c r="B8" s="146" t="s">
        <v>14</v>
      </c>
      <c r="C8" s="146" t="s">
        <v>555</v>
      </c>
      <c r="D8" s="146" t="s">
        <v>537</v>
      </c>
      <c r="E8" s="254">
        <f>Таблица191012[[#This Row],[Грунт]]+Таблица191012[[#This Row],[Щебень]]+Таблица191012[[#This Row],[Асфальт]]+Таблица191012[[#This Row],[Бетон]]</f>
        <v>3.5</v>
      </c>
      <c r="F8" s="311">
        <v>3.5</v>
      </c>
      <c r="G8" s="140"/>
      <c r="H8" s="249"/>
      <c r="I8" s="139"/>
      <c r="J8" s="232"/>
      <c r="N8" s="234" t="b">
        <f>OR(Таблица191012[[#This Row],[Щебень]]&gt;0,Таблица191012[[#This Row],[Асфальт]]&gt;0,Таблица191012[[#This Row],[Бетон]]&gt;0)</f>
        <v>0</v>
      </c>
      <c r="Q8" s="234">
        <v>6</v>
      </c>
      <c r="S8" s="235"/>
      <c r="T8" s="235"/>
      <c r="U8" s="306"/>
      <c r="V8" s="306">
        <f>Таблица191012[[#This Row],[Грунт]]+Таблица191012[[#This Row],[Щебень]]+Таблица191012[[#This Row],[Асфальт]]+Таблица191012[[#This Row],[Бетон]]</f>
        <v>3.5</v>
      </c>
      <c r="W8" s="306"/>
      <c r="X8" s="306"/>
      <c r="Y8" s="306"/>
      <c r="Z8" s="306"/>
    </row>
    <row r="9" spans="1:33" s="234" customFormat="1" x14ac:dyDescent="0.35">
      <c r="A9" s="146">
        <v>7</v>
      </c>
      <c r="B9" s="146" t="s">
        <v>15</v>
      </c>
      <c r="C9" s="146" t="s">
        <v>16</v>
      </c>
      <c r="D9" s="146" t="s">
        <v>549</v>
      </c>
      <c r="E9" s="254">
        <f>Таблица191012[[#This Row],[Грунт]]+Таблица191012[[#This Row],[Щебень]]+Таблица191012[[#This Row],[Асфальт]]+Таблица191012[[#This Row],[Бетон]]</f>
        <v>3.5</v>
      </c>
      <c r="F9" s="311">
        <v>3.5</v>
      </c>
      <c r="G9" s="140"/>
      <c r="H9" s="249"/>
      <c r="I9" s="139"/>
      <c r="J9" s="232"/>
      <c r="N9" s="234" t="b">
        <f>OR(Таблица191012[[#This Row],[Щебень]]&gt;0,Таблица191012[[#This Row],[Асфальт]]&gt;0,Таблица191012[[#This Row],[Бетон]]&gt;0)</f>
        <v>0</v>
      </c>
      <c r="Q9" s="234">
        <v>7</v>
      </c>
      <c r="S9" s="235"/>
      <c r="T9" s="235"/>
      <c r="U9" s="306"/>
      <c r="V9" s="306">
        <f>Таблица191012[[#This Row],[Грунт]]+Таблица191012[[#This Row],[Щебень]]+Таблица191012[[#This Row],[Асфальт]]+Таблица191012[[#This Row],[Бетон]]</f>
        <v>3.5</v>
      </c>
      <c r="W9" s="306"/>
      <c r="X9" s="306"/>
      <c r="Y9" s="306"/>
      <c r="Z9" s="306"/>
    </row>
    <row r="10" spans="1:33" s="234" customFormat="1" ht="46.5" x14ac:dyDescent="0.35">
      <c r="A10" s="146">
        <v>8</v>
      </c>
      <c r="B10" s="146" t="s">
        <v>17</v>
      </c>
      <c r="C10" s="146" t="s">
        <v>18</v>
      </c>
      <c r="D10" s="146" t="s">
        <v>549</v>
      </c>
      <c r="E10" s="254">
        <f>Таблица191012[[#This Row],[Грунт]]+Таблица191012[[#This Row],[Щебень]]+Таблица191012[[#This Row],[Асфальт]]+Таблица191012[[#This Row],[Бетон]]</f>
        <v>1.5</v>
      </c>
      <c r="F10" s="311">
        <v>1.5</v>
      </c>
      <c r="G10" s="140"/>
      <c r="H10" s="249"/>
      <c r="I10" s="139"/>
      <c r="J10" s="232"/>
      <c r="N10" s="234" t="b">
        <f>OR(Таблица191012[[#This Row],[Щебень]]&gt;0,Таблица191012[[#This Row],[Асфальт]]&gt;0,Таблица191012[[#This Row],[Бетон]]&gt;0)</f>
        <v>0</v>
      </c>
      <c r="Q10" s="234">
        <v>8</v>
      </c>
      <c r="S10" s="235"/>
      <c r="T10" s="235"/>
      <c r="U10" s="306"/>
      <c r="V10" s="306">
        <f>Таблица191012[[#This Row],[Грунт]]+Таблица191012[[#This Row],[Щебень]]+Таблица191012[[#This Row],[Асфальт]]+Таблица191012[[#This Row],[Бетон]]</f>
        <v>1.5</v>
      </c>
      <c r="W10" s="306"/>
      <c r="X10" s="306"/>
      <c r="Y10" s="306"/>
      <c r="Z10" s="306"/>
    </row>
    <row r="11" spans="1:33" s="234" customFormat="1" x14ac:dyDescent="0.35">
      <c r="A11" s="146">
        <v>9</v>
      </c>
      <c r="B11" s="146" t="s">
        <v>19</v>
      </c>
      <c r="C11" s="146" t="s">
        <v>20</v>
      </c>
      <c r="D11" s="146" t="s">
        <v>549</v>
      </c>
      <c r="E11" s="254">
        <f>Таблица191012[[#This Row],[Грунт]]+Таблица191012[[#This Row],[Щебень]]+Таблица191012[[#This Row],[Асфальт]]+Таблица191012[[#This Row],[Бетон]]</f>
        <v>1.5</v>
      </c>
      <c r="F11" s="311">
        <v>1.5</v>
      </c>
      <c r="G11" s="140"/>
      <c r="H11" s="249"/>
      <c r="I11" s="139"/>
      <c r="J11" s="232"/>
      <c r="N11" s="234" t="b">
        <f>OR(Таблица191012[[#This Row],[Щебень]]&gt;0,Таблица191012[[#This Row],[Асфальт]]&gt;0,Таблица191012[[#This Row],[Бетон]]&gt;0)</f>
        <v>0</v>
      </c>
      <c r="Q11" s="234">
        <v>9</v>
      </c>
      <c r="S11" s="235"/>
      <c r="T11" s="235"/>
      <c r="U11" s="306"/>
      <c r="V11" s="306">
        <f>Таблица191012[[#This Row],[Грунт]]+Таблица191012[[#This Row],[Щебень]]+Таблица191012[[#This Row],[Асфальт]]+Таблица191012[[#This Row],[Бетон]]</f>
        <v>1.5</v>
      </c>
      <c r="W11" s="306"/>
      <c r="X11" s="306"/>
      <c r="Y11" s="306"/>
      <c r="Z11" s="306"/>
    </row>
    <row r="12" spans="1:33" s="234" customFormat="1" x14ac:dyDescent="0.35">
      <c r="A12" s="146">
        <v>10</v>
      </c>
      <c r="B12" s="146" t="s">
        <v>21</v>
      </c>
      <c r="C12" s="146" t="s">
        <v>22</v>
      </c>
      <c r="D12" s="146" t="s">
        <v>549</v>
      </c>
      <c r="E12" s="254">
        <f>Таблица191012[[#This Row],[Грунт]]+Таблица191012[[#This Row],[Щебень]]+Таблица191012[[#This Row],[Асфальт]]+Таблица191012[[#This Row],[Бетон]]</f>
        <v>1</v>
      </c>
      <c r="F12" s="311">
        <v>1</v>
      </c>
      <c r="G12" s="140"/>
      <c r="H12" s="249"/>
      <c r="I12" s="139"/>
      <c r="J12" s="232"/>
      <c r="N12" s="234" t="b">
        <f>OR(Таблица191012[[#This Row],[Щебень]]&gt;0,Таблица191012[[#This Row],[Асфальт]]&gt;0,Таблица191012[[#This Row],[Бетон]]&gt;0)</f>
        <v>0</v>
      </c>
      <c r="Q12" s="234">
        <v>10</v>
      </c>
      <c r="S12" s="235"/>
      <c r="T12" s="235"/>
      <c r="U12" s="306"/>
      <c r="V12" s="306">
        <f>Таблица191012[[#This Row],[Грунт]]+Таблица191012[[#This Row],[Щебень]]+Таблица191012[[#This Row],[Асфальт]]+Таблица191012[[#This Row],[Бетон]]</f>
        <v>1</v>
      </c>
      <c r="W12" s="306"/>
      <c r="X12" s="306"/>
      <c r="Y12" s="306"/>
      <c r="Z12" s="306"/>
    </row>
    <row r="13" spans="1:33" s="234" customFormat="1" x14ac:dyDescent="0.35">
      <c r="A13" s="146">
        <v>11</v>
      </c>
      <c r="B13" s="146" t="s">
        <v>23</v>
      </c>
      <c r="C13" s="146" t="s">
        <v>24</v>
      </c>
      <c r="D13" s="146" t="s">
        <v>549</v>
      </c>
      <c r="E13" s="254">
        <f>Таблица191012[[#This Row],[Грунт]]+Таблица191012[[#This Row],[Щебень]]+Таблица191012[[#This Row],[Асфальт]]+Таблица191012[[#This Row],[Бетон]]</f>
        <v>0.5</v>
      </c>
      <c r="F13" s="311">
        <v>0.5</v>
      </c>
      <c r="G13" s="140"/>
      <c r="H13" s="249"/>
      <c r="I13" s="139"/>
      <c r="J13" s="232"/>
      <c r="N13" s="234" t="b">
        <f>OR(Таблица191012[[#This Row],[Щебень]]&gt;0,Таблица191012[[#This Row],[Асфальт]]&gt;0,Таблица191012[[#This Row],[Бетон]]&gt;0)</f>
        <v>0</v>
      </c>
      <c r="Q13" s="234">
        <v>11</v>
      </c>
      <c r="S13" s="235"/>
      <c r="T13" s="235"/>
      <c r="U13" s="306"/>
      <c r="V13" s="306">
        <f>Таблица191012[[#This Row],[Грунт]]+Таблица191012[[#This Row],[Щебень]]+Таблица191012[[#This Row],[Асфальт]]+Таблица191012[[#This Row],[Бетон]]</f>
        <v>0.5</v>
      </c>
      <c r="W13" s="306"/>
      <c r="X13" s="306"/>
      <c r="Y13" s="306"/>
      <c r="Z13" s="306"/>
    </row>
    <row r="14" spans="1:33" s="234" customFormat="1" x14ac:dyDescent="0.35">
      <c r="A14" s="146">
        <v>12</v>
      </c>
      <c r="B14" s="146" t="s">
        <v>25</v>
      </c>
      <c r="C14" s="146" t="s">
        <v>26</v>
      </c>
      <c r="D14" s="146" t="s">
        <v>549</v>
      </c>
      <c r="E14" s="254">
        <f>Таблица191012[[#This Row],[Грунт]]+Таблица191012[[#This Row],[Щебень]]+Таблица191012[[#This Row],[Асфальт]]+Таблица191012[[#This Row],[Бетон]]</f>
        <v>3.5</v>
      </c>
      <c r="F14" s="311">
        <v>3.5</v>
      </c>
      <c r="G14" s="140"/>
      <c r="H14" s="249"/>
      <c r="I14" s="139"/>
      <c r="J14" s="232"/>
      <c r="N14" s="234" t="b">
        <f>OR(Таблица191012[[#This Row],[Щебень]]&gt;0,Таблица191012[[#This Row],[Асфальт]]&gt;0,Таблица191012[[#This Row],[Бетон]]&gt;0)</f>
        <v>0</v>
      </c>
      <c r="Q14" s="234">
        <v>12</v>
      </c>
      <c r="S14" s="235"/>
      <c r="T14" s="235"/>
      <c r="U14" s="306"/>
      <c r="V14" s="306">
        <f>Таблица191012[[#This Row],[Грунт]]+Таблица191012[[#This Row],[Щебень]]+Таблица191012[[#This Row],[Асфальт]]+Таблица191012[[#This Row],[Бетон]]</f>
        <v>3.5</v>
      </c>
      <c r="W14" s="306"/>
      <c r="X14" s="306"/>
      <c r="Y14" s="306"/>
      <c r="Z14" s="306"/>
    </row>
    <row r="15" spans="1:33" s="234" customFormat="1" x14ac:dyDescent="0.35">
      <c r="A15" s="146">
        <v>13</v>
      </c>
      <c r="B15" s="146" t="s">
        <v>27</v>
      </c>
      <c r="C15" s="146" t="s">
        <v>28</v>
      </c>
      <c r="D15" s="146" t="s">
        <v>544</v>
      </c>
      <c r="E15" s="254">
        <f>Таблица191012[[#This Row],[Грунт]]+Таблица191012[[#This Row],[Щебень]]+Таблица191012[[#This Row],[Асфальт]]+Таблица191012[[#This Row],[Бетон]]</f>
        <v>2</v>
      </c>
      <c r="F15" s="311">
        <v>2</v>
      </c>
      <c r="G15" s="140"/>
      <c r="H15" s="249"/>
      <c r="I15" s="139"/>
      <c r="J15" s="232"/>
      <c r="N15" s="234" t="b">
        <f>OR(Таблица191012[[#This Row],[Щебень]]&gt;0,Таблица191012[[#This Row],[Асфальт]]&gt;0,Таблица191012[[#This Row],[Бетон]]&gt;0)</f>
        <v>0</v>
      </c>
      <c r="Q15" s="234">
        <v>13</v>
      </c>
      <c r="S15" s="235"/>
      <c r="T15" s="235"/>
      <c r="U15" s="306"/>
      <c r="V15" s="306">
        <f>Таблица191012[[#This Row],[Грунт]]+Таблица191012[[#This Row],[Щебень]]+Таблица191012[[#This Row],[Асфальт]]+Таблица191012[[#This Row],[Бетон]]</f>
        <v>2</v>
      </c>
      <c r="W15" s="306"/>
      <c r="X15" s="306"/>
      <c r="Y15" s="306"/>
      <c r="Z15" s="306"/>
    </row>
    <row r="16" spans="1:33" s="234" customFormat="1" x14ac:dyDescent="0.35">
      <c r="A16" s="146">
        <v>14</v>
      </c>
      <c r="B16" s="146" t="s">
        <v>29</v>
      </c>
      <c r="C16" s="146" t="s">
        <v>30</v>
      </c>
      <c r="D16" s="146" t="s">
        <v>544</v>
      </c>
      <c r="E16" s="254">
        <f>Таблица191012[[#This Row],[Грунт]]+Таблица191012[[#This Row],[Щебень]]+Таблица191012[[#This Row],[Асфальт]]+Таблица191012[[#This Row],[Бетон]]</f>
        <v>2</v>
      </c>
      <c r="F16" s="311">
        <v>2</v>
      </c>
      <c r="G16" s="140"/>
      <c r="H16" s="249"/>
      <c r="I16" s="139"/>
      <c r="J16" s="232"/>
      <c r="N16" s="234" t="b">
        <f>OR(Таблица191012[[#This Row],[Щебень]]&gt;0,Таблица191012[[#This Row],[Асфальт]]&gt;0,Таблица191012[[#This Row],[Бетон]]&gt;0)</f>
        <v>0</v>
      </c>
      <c r="Q16" s="234">
        <v>14</v>
      </c>
      <c r="S16" s="235"/>
      <c r="T16" s="235"/>
      <c r="U16" s="306"/>
      <c r="V16" s="306">
        <f>Таблица191012[[#This Row],[Грунт]]+Таблица191012[[#This Row],[Щебень]]+Таблица191012[[#This Row],[Асфальт]]+Таблица191012[[#This Row],[Бетон]]</f>
        <v>2</v>
      </c>
      <c r="W16" s="306"/>
      <c r="X16" s="306"/>
      <c r="Y16" s="306"/>
      <c r="Z16" s="306"/>
    </row>
    <row r="17" spans="1:26" s="234" customFormat="1" x14ac:dyDescent="0.35">
      <c r="A17" s="146">
        <v>15</v>
      </c>
      <c r="B17" s="146" t="s">
        <v>31</v>
      </c>
      <c r="C17" s="146" t="s">
        <v>32</v>
      </c>
      <c r="D17" s="146" t="s">
        <v>544</v>
      </c>
      <c r="E17" s="254">
        <f>Таблица191012[[#This Row],[Грунт]]+Таблица191012[[#This Row],[Щебень]]+Таблица191012[[#This Row],[Асфальт]]+Таблица191012[[#This Row],[Бетон]]</f>
        <v>2.5</v>
      </c>
      <c r="F17" s="311">
        <v>1.6</v>
      </c>
      <c r="G17" s="140">
        <v>0.9</v>
      </c>
      <c r="H17" s="249"/>
      <c r="I17" s="139"/>
      <c r="J17" s="232"/>
      <c r="N17" s="234" t="b">
        <f>OR(Таблица191012[[#This Row],[Щебень]]&gt;0,Таблица191012[[#This Row],[Асфальт]]&gt;0,Таблица191012[[#This Row],[Бетон]]&gt;0)</f>
        <v>1</v>
      </c>
      <c r="Q17" s="234">
        <v>15</v>
      </c>
      <c r="S17" s="235"/>
      <c r="T17" s="235"/>
      <c r="U17" s="306"/>
      <c r="V17" s="306">
        <f>Таблица191012[[#This Row],[Грунт]]+Таблица191012[[#This Row],[Щебень]]+Таблица191012[[#This Row],[Асфальт]]+Таблица191012[[#This Row],[Бетон]]</f>
        <v>2.5</v>
      </c>
      <c r="W17" s="306"/>
      <c r="X17" s="306"/>
      <c r="Y17" s="306"/>
      <c r="Z17" s="306"/>
    </row>
    <row r="18" spans="1:26" s="234" customFormat="1" x14ac:dyDescent="0.35">
      <c r="A18" s="146">
        <v>16</v>
      </c>
      <c r="B18" s="146" t="s">
        <v>33</v>
      </c>
      <c r="C18" s="146" t="s">
        <v>34</v>
      </c>
      <c r="D18" s="146" t="s">
        <v>544</v>
      </c>
      <c r="E18" s="254">
        <f>Таблица191012[[#This Row],[Грунт]]+Таблица191012[[#This Row],[Щебень]]+Таблица191012[[#This Row],[Асфальт]]+Таблица191012[[#This Row],[Бетон]]</f>
        <v>2</v>
      </c>
      <c r="F18" s="311">
        <v>1.4</v>
      </c>
      <c r="G18" s="140">
        <v>0.6</v>
      </c>
      <c r="H18" s="249"/>
      <c r="I18" s="139"/>
      <c r="J18" s="232"/>
      <c r="N18" s="234" t="b">
        <f>OR(Таблица191012[[#This Row],[Щебень]]&gt;0,Таблица191012[[#This Row],[Асфальт]]&gt;0,Таблица191012[[#This Row],[Бетон]]&gt;0)</f>
        <v>1</v>
      </c>
      <c r="Q18" s="234">
        <v>16</v>
      </c>
      <c r="S18" s="235"/>
      <c r="T18" s="235"/>
      <c r="U18" s="306"/>
      <c r="V18" s="306">
        <f>Таблица191012[[#This Row],[Грунт]]+Таблица191012[[#This Row],[Щебень]]+Таблица191012[[#This Row],[Асфальт]]+Таблица191012[[#This Row],[Бетон]]</f>
        <v>2</v>
      </c>
      <c r="W18" s="306"/>
      <c r="X18" s="306"/>
      <c r="Y18" s="306"/>
      <c r="Z18" s="306"/>
    </row>
    <row r="19" spans="1:26" s="234" customFormat="1" x14ac:dyDescent="0.35">
      <c r="A19" s="146">
        <v>17</v>
      </c>
      <c r="B19" s="146" t="s">
        <v>35</v>
      </c>
      <c r="C19" s="146" t="s">
        <v>36</v>
      </c>
      <c r="D19" s="146" t="s">
        <v>552</v>
      </c>
      <c r="E19" s="254">
        <f>Таблица191012[[#This Row],[Грунт]]+Таблица191012[[#This Row],[Щебень]]+Таблица191012[[#This Row],[Асфальт]]+Таблица191012[[#This Row],[Бетон]]</f>
        <v>1</v>
      </c>
      <c r="F19" s="311"/>
      <c r="G19" s="140">
        <v>1</v>
      </c>
      <c r="H19" s="249"/>
      <c r="I19" s="139"/>
      <c r="J19" s="232"/>
      <c r="K19" s="233" t="s">
        <v>557</v>
      </c>
      <c r="N19" s="234" t="b">
        <f>OR(Таблица191012[[#This Row],[Щебень]]&gt;0,Таблица191012[[#This Row],[Асфальт]]&gt;0,Таблица191012[[#This Row],[Бетон]]&gt;0)</f>
        <v>1</v>
      </c>
      <c r="Q19" s="234">
        <v>17</v>
      </c>
      <c r="S19" s="235"/>
      <c r="T19" s="235"/>
      <c r="U19" s="306"/>
      <c r="V19" s="306">
        <f>Таблица191012[[#This Row],[Грунт]]+Таблица191012[[#This Row],[Щебень]]+Таблица191012[[#This Row],[Асфальт]]+Таблица191012[[#This Row],[Бетон]]</f>
        <v>1</v>
      </c>
      <c r="W19" s="306"/>
      <c r="X19" s="306"/>
      <c r="Y19" s="306"/>
      <c r="Z19" s="306"/>
    </row>
    <row r="20" spans="1:26" s="234" customFormat="1" x14ac:dyDescent="0.35">
      <c r="A20" s="146">
        <v>18</v>
      </c>
      <c r="B20" s="146" t="s">
        <v>37</v>
      </c>
      <c r="C20" s="146" t="s">
        <v>38</v>
      </c>
      <c r="D20" s="146" t="s">
        <v>551</v>
      </c>
      <c r="E20" s="254">
        <f>Таблица191012[[#This Row],[Грунт]]+Таблица191012[[#This Row],[Щебень]]+Таблица191012[[#This Row],[Асфальт]]+Таблица191012[[#This Row],[Бетон]]</f>
        <v>2</v>
      </c>
      <c r="F20" s="311"/>
      <c r="G20" s="140">
        <v>2</v>
      </c>
      <c r="H20" s="249"/>
      <c r="I20" s="139"/>
      <c r="J20" s="232"/>
      <c r="N20" s="234" t="b">
        <f>OR(Таблица191012[[#This Row],[Щебень]]&gt;0,Таблица191012[[#This Row],[Асфальт]]&gt;0,Таблица191012[[#This Row],[Бетон]]&gt;0)</f>
        <v>1</v>
      </c>
      <c r="O20" s="234">
        <v>1</v>
      </c>
      <c r="P20" s="234">
        <v>1</v>
      </c>
      <c r="Q20" s="234">
        <v>18</v>
      </c>
      <c r="S20" s="235"/>
      <c r="T20" s="235"/>
      <c r="U20" s="306"/>
      <c r="V20" s="306">
        <f>Таблица191012[[#This Row],[Грунт]]+Таблица191012[[#This Row],[Щебень]]+Таблица191012[[#This Row],[Асфальт]]+Таблица191012[[#This Row],[Бетон]]</f>
        <v>2</v>
      </c>
      <c r="W20" s="306"/>
      <c r="X20" s="306"/>
      <c r="Y20" s="306"/>
      <c r="Z20" s="306"/>
    </row>
    <row r="21" spans="1:26" s="234" customFormat="1" x14ac:dyDescent="0.35">
      <c r="A21" s="146">
        <v>19</v>
      </c>
      <c r="B21" s="146" t="s">
        <v>39</v>
      </c>
      <c r="C21" s="146" t="s">
        <v>40</v>
      </c>
      <c r="D21" s="146" t="s">
        <v>551</v>
      </c>
      <c r="E21" s="254">
        <f>Таблица191012[[#This Row],[Грунт]]+Таблица191012[[#This Row],[Щебень]]+Таблица191012[[#This Row],[Асфальт]]+Таблица191012[[#This Row],[Бетон]]</f>
        <v>1.5</v>
      </c>
      <c r="F21" s="311">
        <v>1.5</v>
      </c>
      <c r="G21" s="140"/>
      <c r="H21" s="249"/>
      <c r="I21" s="139"/>
      <c r="J21" s="232"/>
      <c r="N21" s="234" t="b">
        <f>OR(Таблица191012[[#This Row],[Щебень]]&gt;0,Таблица191012[[#This Row],[Асфальт]]&gt;0,Таблица191012[[#This Row],[Бетон]]&gt;0)</f>
        <v>0</v>
      </c>
      <c r="Q21" s="234">
        <v>19</v>
      </c>
      <c r="S21" s="235"/>
      <c r="T21" s="235"/>
      <c r="U21" s="306"/>
      <c r="V21" s="306">
        <f>Таблица191012[[#This Row],[Грунт]]+Таблица191012[[#This Row],[Щебень]]+Таблица191012[[#This Row],[Асфальт]]+Таблица191012[[#This Row],[Бетон]]</f>
        <v>1.5</v>
      </c>
      <c r="W21" s="306"/>
      <c r="X21" s="306"/>
      <c r="Y21" s="306"/>
      <c r="Z21" s="306"/>
    </row>
    <row r="22" spans="1:26" s="234" customFormat="1" x14ac:dyDescent="0.35">
      <c r="A22" s="146">
        <v>20</v>
      </c>
      <c r="B22" s="146" t="s">
        <v>41</v>
      </c>
      <c r="C22" s="146" t="s">
        <v>42</v>
      </c>
      <c r="D22" s="146" t="s">
        <v>551</v>
      </c>
      <c r="E22" s="254">
        <f>Таблица191012[[#This Row],[Грунт]]+Таблица191012[[#This Row],[Щебень]]+Таблица191012[[#This Row],[Асфальт]]+Таблица191012[[#This Row],[Бетон]]</f>
        <v>2</v>
      </c>
      <c r="F22" s="311">
        <v>2</v>
      </c>
      <c r="G22" s="140"/>
      <c r="H22" s="249"/>
      <c r="I22" s="139"/>
      <c r="J22" s="232"/>
      <c r="N22" s="234" t="b">
        <f>OR(Таблица191012[[#This Row],[Щебень]]&gt;0,Таблица191012[[#This Row],[Асфальт]]&gt;0,Таблица191012[[#This Row],[Бетон]]&gt;0)</f>
        <v>0</v>
      </c>
      <c r="Q22" s="234">
        <v>20</v>
      </c>
      <c r="S22" s="235"/>
      <c r="T22" s="235"/>
      <c r="U22" s="306"/>
      <c r="V22" s="306">
        <f>Таблица191012[[#This Row],[Грунт]]+Таблица191012[[#This Row],[Щебень]]+Таблица191012[[#This Row],[Асфальт]]+Таблица191012[[#This Row],[Бетон]]</f>
        <v>2</v>
      </c>
      <c r="W22" s="306"/>
      <c r="X22" s="306"/>
      <c r="Y22" s="306"/>
      <c r="Z22" s="306"/>
    </row>
    <row r="23" spans="1:26" s="234" customFormat="1" x14ac:dyDescent="0.35">
      <c r="A23" s="146">
        <v>21</v>
      </c>
      <c r="B23" s="146" t="s">
        <v>43</v>
      </c>
      <c r="C23" s="146" t="s">
        <v>44</v>
      </c>
      <c r="D23" s="146" t="s">
        <v>551</v>
      </c>
      <c r="E23" s="254">
        <f>Таблица191012[[#This Row],[Грунт]]+Таблица191012[[#This Row],[Щебень]]+Таблица191012[[#This Row],[Асфальт]]+Таблица191012[[#This Row],[Бетон]]</f>
        <v>3</v>
      </c>
      <c r="F23" s="311">
        <v>3</v>
      </c>
      <c r="G23" s="140"/>
      <c r="H23" s="249"/>
      <c r="I23" s="139"/>
      <c r="J23" s="232"/>
      <c r="N23" s="234" t="b">
        <f>OR(Таблица191012[[#This Row],[Щебень]]&gt;0,Таблица191012[[#This Row],[Асфальт]]&gt;0,Таблица191012[[#This Row],[Бетон]]&gt;0)</f>
        <v>0</v>
      </c>
      <c r="Q23" s="234">
        <v>21</v>
      </c>
      <c r="S23" s="235"/>
      <c r="T23" s="235"/>
      <c r="U23" s="306"/>
      <c r="V23" s="306">
        <f>Таблица191012[[#This Row],[Грунт]]+Таблица191012[[#This Row],[Щебень]]+Таблица191012[[#This Row],[Асфальт]]+Таблица191012[[#This Row],[Бетон]]</f>
        <v>3</v>
      </c>
      <c r="W23" s="306"/>
      <c r="X23" s="306"/>
      <c r="Y23" s="306"/>
      <c r="Z23" s="306"/>
    </row>
    <row r="24" spans="1:26" s="234" customFormat="1" x14ac:dyDescent="0.35">
      <c r="A24" s="146">
        <v>22</v>
      </c>
      <c r="B24" s="146" t="s">
        <v>45</v>
      </c>
      <c r="C24" s="146" t="s">
        <v>46</v>
      </c>
      <c r="D24" s="146" t="s">
        <v>540</v>
      </c>
      <c r="E24" s="254">
        <f>Таблица191012[[#This Row],[Грунт]]+Таблица191012[[#This Row],[Щебень]]+Таблица191012[[#This Row],[Асфальт]]+Таблица191012[[#This Row],[Бетон]]</f>
        <v>2</v>
      </c>
      <c r="F24" s="311">
        <v>2</v>
      </c>
      <c r="G24" s="140"/>
      <c r="H24" s="249"/>
      <c r="I24" s="139"/>
      <c r="J24" s="232"/>
      <c r="N24" s="234" t="b">
        <f>OR(Таблица191012[[#This Row],[Щебень]]&gt;0,Таблица191012[[#This Row],[Асфальт]]&gt;0,Таблица191012[[#This Row],[Бетон]]&gt;0)</f>
        <v>0</v>
      </c>
      <c r="Q24" s="234">
        <v>22</v>
      </c>
      <c r="S24" s="235"/>
      <c r="T24" s="235"/>
      <c r="U24" s="306"/>
      <c r="V24" s="306">
        <f>Таблица191012[[#This Row],[Грунт]]+Таблица191012[[#This Row],[Щебень]]+Таблица191012[[#This Row],[Асфальт]]+Таблица191012[[#This Row],[Бетон]]</f>
        <v>2</v>
      </c>
      <c r="W24" s="306"/>
      <c r="X24" s="306"/>
      <c r="Y24" s="306"/>
      <c r="Z24" s="306"/>
    </row>
    <row r="25" spans="1:26" s="234" customFormat="1" x14ac:dyDescent="0.35">
      <c r="A25" s="146">
        <v>23</v>
      </c>
      <c r="B25" s="146" t="s">
        <v>47</v>
      </c>
      <c r="C25" s="146" t="s">
        <v>48</v>
      </c>
      <c r="D25" s="146" t="s">
        <v>540</v>
      </c>
      <c r="E25" s="254">
        <f>Таблица191012[[#This Row],[Грунт]]+Таблица191012[[#This Row],[Щебень]]+Таблица191012[[#This Row],[Асфальт]]+Таблица191012[[#This Row],[Бетон]]</f>
        <v>2</v>
      </c>
      <c r="F25" s="311">
        <v>2</v>
      </c>
      <c r="G25" s="140"/>
      <c r="H25" s="249"/>
      <c r="I25" s="139"/>
      <c r="J25" s="232"/>
      <c r="N25" s="234" t="b">
        <f>OR(Таблица191012[[#This Row],[Щебень]]&gt;0,Таблица191012[[#This Row],[Асфальт]]&gt;0,Таблица191012[[#This Row],[Бетон]]&gt;0)</f>
        <v>0</v>
      </c>
      <c r="Q25" s="234">
        <v>23</v>
      </c>
      <c r="S25" s="235"/>
      <c r="T25" s="235"/>
      <c r="U25" s="306"/>
      <c r="V25" s="306">
        <f>Таблица191012[[#This Row],[Грунт]]+Таблица191012[[#This Row],[Щебень]]+Таблица191012[[#This Row],[Асфальт]]+Таблица191012[[#This Row],[Бетон]]</f>
        <v>2</v>
      </c>
      <c r="W25" s="306"/>
      <c r="X25" s="306"/>
      <c r="Y25" s="306"/>
      <c r="Z25" s="306"/>
    </row>
    <row r="26" spans="1:26" s="234" customFormat="1" ht="46.5" x14ac:dyDescent="0.35">
      <c r="A26" s="146">
        <v>24</v>
      </c>
      <c r="B26" s="146" t="s">
        <v>49</v>
      </c>
      <c r="C26" s="146" t="s">
        <v>50</v>
      </c>
      <c r="D26" s="146" t="s">
        <v>540</v>
      </c>
      <c r="E26" s="254">
        <f>Таблица191012[[#This Row],[Грунт]]+Таблица191012[[#This Row],[Щебень]]+Таблица191012[[#This Row],[Асфальт]]+Таблица191012[[#This Row],[Бетон]]</f>
        <v>1</v>
      </c>
      <c r="F26" s="311">
        <v>1</v>
      </c>
      <c r="G26" s="140"/>
      <c r="H26" s="249"/>
      <c r="I26" s="139"/>
      <c r="J26" s="232"/>
      <c r="N26" s="234" t="b">
        <f>OR(Таблица191012[[#This Row],[Щебень]]&gt;0,Таблица191012[[#This Row],[Асфальт]]&gt;0,Таблица191012[[#This Row],[Бетон]]&gt;0)</f>
        <v>0</v>
      </c>
      <c r="Q26" s="234">
        <v>139</v>
      </c>
      <c r="R26" s="146">
        <v>142</v>
      </c>
      <c r="S26" s="146" t="s">
        <v>270</v>
      </c>
      <c r="T26" s="146" t="s">
        <v>271</v>
      </c>
      <c r="U26" s="306" t="s">
        <v>540</v>
      </c>
      <c r="V26" s="306">
        <f>Таблица191012[[#This Row],[Грунт]]+Таблица191012[[#This Row],[Щебень]]+Таблица191012[[#This Row],[Асфальт]]+Таблица191012[[#This Row],[Бетон]]</f>
        <v>1</v>
      </c>
      <c r="W26" s="306">
        <v>1.1000000000000001</v>
      </c>
      <c r="X26" s="306"/>
      <c r="Y26" s="306"/>
      <c r="Z26" s="306"/>
    </row>
    <row r="27" spans="1:26" s="234" customFormat="1" x14ac:dyDescent="0.35">
      <c r="A27" s="146">
        <v>25</v>
      </c>
      <c r="B27" s="146" t="s">
        <v>51</v>
      </c>
      <c r="C27" s="146" t="s">
        <v>52</v>
      </c>
      <c r="D27" s="146" t="s">
        <v>540</v>
      </c>
      <c r="E27" s="254">
        <f>Таблица191012[[#This Row],[Грунт]]+Таблица191012[[#This Row],[Щебень]]+Таблица191012[[#This Row],[Асфальт]]+Таблица191012[[#This Row],[Бетон]]</f>
        <v>3</v>
      </c>
      <c r="F27" s="311"/>
      <c r="G27" s="140">
        <v>3</v>
      </c>
      <c r="H27" s="249"/>
      <c r="I27" s="139"/>
      <c r="J27" s="232"/>
      <c r="N27" s="234" t="b">
        <f>OR(Таблица191012[[#This Row],[Щебень]]&gt;0,Таблица191012[[#This Row],[Асфальт]]&gt;0,Таблица191012[[#This Row],[Бетон]]&gt;0)</f>
        <v>1</v>
      </c>
      <c r="O27" s="234">
        <v>1</v>
      </c>
      <c r="P27" s="234">
        <v>1</v>
      </c>
      <c r="Q27" s="234">
        <v>25</v>
      </c>
      <c r="S27" s="235"/>
      <c r="T27" s="235"/>
      <c r="U27" s="306"/>
      <c r="V27" s="306">
        <f>Таблица191012[[#This Row],[Грунт]]+Таблица191012[[#This Row],[Щебень]]+Таблица191012[[#This Row],[Асфальт]]+Таблица191012[[#This Row],[Бетон]]</f>
        <v>3</v>
      </c>
      <c r="W27" s="306"/>
      <c r="X27" s="306"/>
      <c r="Y27" s="306"/>
      <c r="Z27" s="306"/>
    </row>
    <row r="28" spans="1:26" s="234" customFormat="1" x14ac:dyDescent="0.35">
      <c r="A28" s="146">
        <v>26</v>
      </c>
      <c r="B28" s="146" t="s">
        <v>53</v>
      </c>
      <c r="C28" s="146" t="s">
        <v>54</v>
      </c>
      <c r="D28" s="146" t="s">
        <v>540</v>
      </c>
      <c r="E28" s="254">
        <f>Таблица191012[[#This Row],[Грунт]]+Таблица191012[[#This Row],[Щебень]]+Таблица191012[[#This Row],[Асфальт]]+Таблица191012[[#This Row],[Бетон]]</f>
        <v>2</v>
      </c>
      <c r="F28" s="311">
        <v>2</v>
      </c>
      <c r="G28" s="140"/>
      <c r="H28" s="249"/>
      <c r="I28" s="139"/>
      <c r="J28" s="232"/>
      <c r="N28" s="234" t="b">
        <f>OR(Таблица191012[[#This Row],[Щебень]]&gt;0,Таблица191012[[#This Row],[Асфальт]]&gt;0,Таблица191012[[#This Row],[Бетон]]&gt;0)</f>
        <v>0</v>
      </c>
      <c r="Q28" s="234">
        <v>26</v>
      </c>
      <c r="S28" s="235"/>
      <c r="T28" s="235"/>
      <c r="U28" s="306"/>
      <c r="V28" s="306">
        <f>Таблица191012[[#This Row],[Грунт]]+Таблица191012[[#This Row],[Щебень]]+Таблица191012[[#This Row],[Асфальт]]+Таблица191012[[#This Row],[Бетон]]</f>
        <v>2</v>
      </c>
      <c r="W28" s="306"/>
      <c r="X28" s="306"/>
      <c r="Y28" s="306"/>
      <c r="Z28" s="306"/>
    </row>
    <row r="29" spans="1:26" s="234" customFormat="1" x14ac:dyDescent="0.35">
      <c r="A29" s="146">
        <v>27</v>
      </c>
      <c r="B29" s="146" t="s">
        <v>55</v>
      </c>
      <c r="C29" s="146" t="s">
        <v>56</v>
      </c>
      <c r="D29" s="146" t="s">
        <v>540</v>
      </c>
      <c r="E29" s="254">
        <f>Таблица191012[[#This Row],[Грунт]]+Таблица191012[[#This Row],[Щебень]]+Таблица191012[[#This Row],[Асфальт]]+Таблица191012[[#This Row],[Бетон]]</f>
        <v>1</v>
      </c>
      <c r="F29" s="311">
        <v>1</v>
      </c>
      <c r="G29" s="140"/>
      <c r="H29" s="249"/>
      <c r="I29" s="139"/>
      <c r="J29" s="232"/>
      <c r="N29" s="234" t="b">
        <f>OR(Таблица191012[[#This Row],[Щебень]]&gt;0,Таблица191012[[#This Row],[Асфальт]]&gt;0,Таблица191012[[#This Row],[Бетон]]&gt;0)</f>
        <v>0</v>
      </c>
      <c r="Q29" s="234">
        <v>27</v>
      </c>
      <c r="S29" s="235"/>
      <c r="T29" s="235"/>
      <c r="U29" s="306"/>
      <c r="V29" s="306">
        <f>Таблица191012[[#This Row],[Грунт]]+Таблица191012[[#This Row],[Щебень]]+Таблица191012[[#This Row],[Асфальт]]+Таблица191012[[#This Row],[Бетон]]</f>
        <v>1</v>
      </c>
      <c r="W29" s="306"/>
      <c r="X29" s="306"/>
      <c r="Y29" s="306"/>
      <c r="Z29" s="306"/>
    </row>
    <row r="30" spans="1:26" s="234" customFormat="1" x14ac:dyDescent="0.35">
      <c r="A30" s="146">
        <v>28</v>
      </c>
      <c r="B30" s="146" t="s">
        <v>57</v>
      </c>
      <c r="C30" s="146" t="s">
        <v>58</v>
      </c>
      <c r="D30" s="146" t="s">
        <v>538</v>
      </c>
      <c r="E30" s="254">
        <f>Таблица191012[[#This Row],[Грунт]]+Таблица191012[[#This Row],[Щебень]]+Таблица191012[[#This Row],[Асфальт]]+Таблица191012[[#This Row],[Бетон]]</f>
        <v>2</v>
      </c>
      <c r="F30" s="311">
        <v>1.875</v>
      </c>
      <c r="G30" s="140">
        <v>0.125</v>
      </c>
      <c r="H30" s="249"/>
      <c r="I30" s="139"/>
      <c r="J30" s="232"/>
      <c r="K30" s="233" t="s">
        <v>558</v>
      </c>
      <c r="N30" s="234" t="b">
        <f>OR(Таблица191012[[#This Row],[Щебень]]&gt;0,Таблица191012[[#This Row],[Асфальт]]&gt;0,Таблица191012[[#This Row],[Бетон]]&gt;0)</f>
        <v>1</v>
      </c>
      <c r="O30" s="234">
        <v>1</v>
      </c>
      <c r="P30" s="234">
        <v>1</v>
      </c>
      <c r="Q30" s="234">
        <v>28</v>
      </c>
      <c r="S30" s="235"/>
      <c r="T30" s="235"/>
      <c r="U30" s="306"/>
      <c r="V30" s="306">
        <f>Таблица191012[[#This Row],[Грунт]]+Таблица191012[[#This Row],[Щебень]]+Таблица191012[[#This Row],[Асфальт]]+Таблица191012[[#This Row],[Бетон]]</f>
        <v>2</v>
      </c>
      <c r="W30" s="306"/>
      <c r="X30" s="306"/>
      <c r="Y30" s="306"/>
      <c r="Z30" s="306"/>
    </row>
    <row r="31" spans="1:26" s="234" customFormat="1" x14ac:dyDescent="0.35">
      <c r="A31" s="146">
        <v>29</v>
      </c>
      <c r="B31" s="146" t="s">
        <v>59</v>
      </c>
      <c r="C31" s="146" t="s">
        <v>60</v>
      </c>
      <c r="D31" s="146" t="s">
        <v>538</v>
      </c>
      <c r="E31" s="254">
        <f>Таблица191012[[#This Row],[Грунт]]+Таблица191012[[#This Row],[Щебень]]+Таблица191012[[#This Row],[Асфальт]]+Таблица191012[[#This Row],[Бетон]]</f>
        <v>1</v>
      </c>
      <c r="F31" s="311">
        <v>1</v>
      </c>
      <c r="G31" s="140">
        <v>0</v>
      </c>
      <c r="H31" s="249"/>
      <c r="I31" s="139"/>
      <c r="J31" s="232"/>
      <c r="K31" s="234" t="s">
        <v>558</v>
      </c>
      <c r="N31" s="234" t="b">
        <f>OR(Таблица191012[[#This Row],[Щебень]]&gt;0,Таблица191012[[#This Row],[Асфальт]]&gt;0,Таблица191012[[#This Row],[Бетон]]&gt;0)</f>
        <v>0</v>
      </c>
      <c r="Q31" s="234">
        <v>29</v>
      </c>
      <c r="S31" s="235"/>
      <c r="T31" s="235"/>
      <c r="U31" s="306"/>
      <c r="V31" s="306">
        <f>Таблица191012[[#This Row],[Грунт]]+Таблица191012[[#This Row],[Щебень]]+Таблица191012[[#This Row],[Асфальт]]+Таблица191012[[#This Row],[Бетон]]</f>
        <v>1</v>
      </c>
      <c r="W31" s="306"/>
      <c r="X31" s="306"/>
      <c r="Y31" s="306"/>
      <c r="Z31" s="306"/>
    </row>
    <row r="32" spans="1:26" s="234" customFormat="1" x14ac:dyDescent="0.35">
      <c r="A32" s="146">
        <v>30</v>
      </c>
      <c r="B32" s="146" t="s">
        <v>61</v>
      </c>
      <c r="C32" s="146" t="s">
        <v>62</v>
      </c>
      <c r="D32" s="146" t="s">
        <v>538</v>
      </c>
      <c r="E32" s="254">
        <f>Таблица191012[[#This Row],[Грунт]]+Таблица191012[[#This Row],[Щебень]]+Таблица191012[[#This Row],[Асфальт]]+Таблица191012[[#This Row],[Бетон]]</f>
        <v>4</v>
      </c>
      <c r="F32" s="311"/>
      <c r="G32" s="140">
        <v>4</v>
      </c>
      <c r="H32" s="249"/>
      <c r="I32" s="139"/>
      <c r="J32" s="232"/>
      <c r="K32" s="234" t="s">
        <v>558</v>
      </c>
      <c r="N32" s="234" t="b">
        <f>OR(Таблица191012[[#This Row],[Щебень]]&gt;0,Таблица191012[[#This Row],[Асфальт]]&gt;0,Таблица191012[[#This Row],[Бетон]]&gt;0)</f>
        <v>1</v>
      </c>
      <c r="O32" s="234">
        <v>1</v>
      </c>
      <c r="P32" s="234">
        <v>1</v>
      </c>
      <c r="Q32" s="234">
        <v>30</v>
      </c>
      <c r="S32" s="235"/>
      <c r="T32" s="235"/>
      <c r="U32" s="306"/>
      <c r="V32" s="306">
        <f>Таблица191012[[#This Row],[Грунт]]+Таблица191012[[#This Row],[Щебень]]+Таблица191012[[#This Row],[Асфальт]]+Таблица191012[[#This Row],[Бетон]]</f>
        <v>4</v>
      </c>
      <c r="W32" s="306"/>
      <c r="X32" s="306"/>
      <c r="Y32" s="306"/>
      <c r="Z32" s="306"/>
    </row>
    <row r="33" spans="1:26" s="234" customFormat="1" ht="46.5" x14ac:dyDescent="0.35">
      <c r="A33" s="146">
        <v>31</v>
      </c>
      <c r="B33" s="146" t="s">
        <v>63</v>
      </c>
      <c r="C33" s="146" t="s">
        <v>64</v>
      </c>
      <c r="D33" s="146" t="s">
        <v>538</v>
      </c>
      <c r="E33" s="254">
        <f>Таблица191012[[#This Row],[Грунт]]+Таблица191012[[#This Row],[Щебень]]+Таблица191012[[#This Row],[Асфальт]]+Таблица191012[[#This Row],[Бетон]]</f>
        <v>2.218</v>
      </c>
      <c r="F33" s="311"/>
      <c r="G33" s="140">
        <v>2.218</v>
      </c>
      <c r="H33" s="249"/>
      <c r="I33" s="139"/>
      <c r="J33" s="232"/>
      <c r="K33" s="233" t="s">
        <v>557</v>
      </c>
      <c r="N33" s="234" t="b">
        <f>OR(Таблица191012[[#This Row],[Щебень]]&gt;0,Таблица191012[[#This Row],[Асфальт]]&gt;0,Таблица191012[[#This Row],[Бетон]]&gt;0)</f>
        <v>1</v>
      </c>
      <c r="O33" s="234">
        <v>1</v>
      </c>
      <c r="P33" s="234">
        <v>1</v>
      </c>
      <c r="Q33" s="234">
        <v>31</v>
      </c>
      <c r="S33" s="235"/>
      <c r="T33" s="235"/>
      <c r="U33" s="306"/>
      <c r="V33" s="306">
        <f>Таблица191012[[#This Row],[Грунт]]+Таблица191012[[#This Row],[Щебень]]+Таблица191012[[#This Row],[Асфальт]]+Таблица191012[[#This Row],[Бетон]]</f>
        <v>2.218</v>
      </c>
      <c r="W33" s="306"/>
      <c r="X33" s="306"/>
      <c r="Y33" s="306"/>
      <c r="Z33" s="306"/>
    </row>
    <row r="34" spans="1:26" s="234" customFormat="1" x14ac:dyDescent="0.35">
      <c r="A34" s="146">
        <v>32</v>
      </c>
      <c r="B34" s="146" t="s">
        <v>65</v>
      </c>
      <c r="C34" s="146" t="s">
        <v>66</v>
      </c>
      <c r="D34" s="146" t="s">
        <v>542</v>
      </c>
      <c r="E34" s="254">
        <f>Таблица191012[[#This Row],[Грунт]]+Таблица191012[[#This Row],[Щебень]]+Таблица191012[[#This Row],[Асфальт]]+Таблица191012[[#This Row],[Бетон]]</f>
        <v>3</v>
      </c>
      <c r="F34" s="311">
        <v>3</v>
      </c>
      <c r="G34" s="140"/>
      <c r="H34" s="249">
        <v>0</v>
      </c>
      <c r="I34" s="139"/>
      <c r="J34" s="232"/>
      <c r="N34" s="234" t="b">
        <f>OR(Таблица191012[[#This Row],[Щебень]]&gt;0,Таблица191012[[#This Row],[Асфальт]]&gt;0,Таблица191012[[#This Row],[Бетон]]&gt;0)</f>
        <v>0</v>
      </c>
      <c r="O34" s="234">
        <v>1</v>
      </c>
      <c r="P34" s="234">
        <v>1</v>
      </c>
      <c r="Q34" s="234">
        <v>32</v>
      </c>
      <c r="S34" s="235"/>
      <c r="T34" s="235"/>
      <c r="U34" s="306"/>
      <c r="V34" s="306">
        <f>Таблица191012[[#This Row],[Грунт]]+Таблица191012[[#This Row],[Щебень]]+Таблица191012[[#This Row],[Асфальт]]+Таблица191012[[#This Row],[Бетон]]</f>
        <v>3</v>
      </c>
      <c r="W34" s="306"/>
      <c r="X34" s="306"/>
      <c r="Y34" s="306"/>
      <c r="Z34" s="306"/>
    </row>
    <row r="35" spans="1:26" s="234" customFormat="1" ht="46.5" x14ac:dyDescent="0.35">
      <c r="A35" s="146">
        <v>33</v>
      </c>
      <c r="B35" s="146" t="s">
        <v>67</v>
      </c>
      <c r="C35" s="146" t="s">
        <v>530</v>
      </c>
      <c r="D35" s="146" t="s">
        <v>542</v>
      </c>
      <c r="E35" s="254">
        <f>Таблица191012[[#This Row],[Грунт]]+Таблица191012[[#This Row],[Щебень]]+Таблица191012[[#This Row],[Асфальт]]+Таблица191012[[#This Row],[Бетон]]</f>
        <v>2</v>
      </c>
      <c r="F35" s="311"/>
      <c r="G35" s="140"/>
      <c r="H35" s="249">
        <v>2</v>
      </c>
      <c r="I35" s="139"/>
      <c r="J35" s="232"/>
      <c r="K35" s="234" t="s">
        <v>557</v>
      </c>
      <c r="N35" s="234" t="b">
        <f>OR(Таблица191012[[#This Row],[Щебень]]&gt;0,Таблица191012[[#This Row],[Асфальт]]&gt;0,Таблица191012[[#This Row],[Бетон]]&gt;0)</f>
        <v>1</v>
      </c>
      <c r="O35" s="234">
        <v>1</v>
      </c>
      <c r="P35" s="234">
        <v>1</v>
      </c>
      <c r="Q35" s="234">
        <v>33</v>
      </c>
      <c r="S35" s="235"/>
      <c r="T35" s="235"/>
      <c r="U35" s="306"/>
      <c r="V35" s="306">
        <f>Таблица191012[[#This Row],[Грунт]]+Таблица191012[[#This Row],[Щебень]]+Таблица191012[[#This Row],[Асфальт]]+Таблица191012[[#This Row],[Бетон]]</f>
        <v>2</v>
      </c>
      <c r="W35" s="306"/>
      <c r="X35" s="306"/>
      <c r="Y35" s="306"/>
      <c r="Z35" s="306"/>
    </row>
    <row r="36" spans="1:26" s="234" customFormat="1" x14ac:dyDescent="0.35">
      <c r="A36" s="146">
        <v>34</v>
      </c>
      <c r="B36" s="146" t="s">
        <v>68</v>
      </c>
      <c r="C36" s="146" t="s">
        <v>69</v>
      </c>
      <c r="D36" s="146" t="s">
        <v>542</v>
      </c>
      <c r="E36" s="254">
        <f>Таблица191012[[#This Row],[Грунт]]+Таблица191012[[#This Row],[Щебень]]+Таблица191012[[#This Row],[Асфальт]]+Таблица191012[[#This Row],[Бетон]]</f>
        <v>1.8</v>
      </c>
      <c r="F36" s="311"/>
      <c r="G36" s="140"/>
      <c r="H36" s="249">
        <v>1.8</v>
      </c>
      <c r="I36" s="139"/>
      <c r="J36" s="232"/>
      <c r="K36" s="233" t="s">
        <v>557</v>
      </c>
      <c r="N36" s="234" t="b">
        <f>OR(Таблица191012[[#This Row],[Щебень]]&gt;0,Таблица191012[[#This Row],[Асфальт]]&gt;0,Таблица191012[[#This Row],[Бетон]]&gt;0)</f>
        <v>1</v>
      </c>
      <c r="O36" s="234">
        <v>1</v>
      </c>
      <c r="P36" s="234">
        <v>1</v>
      </c>
      <c r="Q36" s="234">
        <v>34</v>
      </c>
      <c r="S36" s="235"/>
      <c r="T36" s="235"/>
      <c r="U36" s="306"/>
      <c r="V36" s="306">
        <f>Таблица191012[[#This Row],[Грунт]]+Таблица191012[[#This Row],[Щебень]]+Таблица191012[[#This Row],[Асфальт]]+Таблица191012[[#This Row],[Бетон]]</f>
        <v>1.8</v>
      </c>
      <c r="W36" s="306"/>
      <c r="X36" s="306"/>
      <c r="Y36" s="306"/>
      <c r="Z36" s="306"/>
    </row>
    <row r="37" spans="1:26" s="234" customFormat="1" ht="46.5" x14ac:dyDescent="0.35">
      <c r="A37" s="146">
        <v>35</v>
      </c>
      <c r="B37" s="146" t="s">
        <v>70</v>
      </c>
      <c r="C37" s="146" t="s">
        <v>834</v>
      </c>
      <c r="D37" s="146" t="s">
        <v>542</v>
      </c>
      <c r="E37" s="254">
        <f>Таблица191012[[#This Row],[Грунт]]+Таблица191012[[#This Row],[Щебень]]+Таблица191012[[#This Row],[Асфальт]]+Таблица191012[[#This Row],[Бетон]]</f>
        <v>1</v>
      </c>
      <c r="F37" s="311">
        <v>1</v>
      </c>
      <c r="G37" s="140"/>
      <c r="H37" s="249"/>
      <c r="I37" s="139"/>
      <c r="J37" s="232"/>
      <c r="N37" s="234" t="b">
        <f>OR(Таблица191012[[#This Row],[Щебень]]&gt;0,Таблица191012[[#This Row],[Асфальт]]&gt;0,Таблица191012[[#This Row],[Бетон]]&gt;0)</f>
        <v>0</v>
      </c>
      <c r="Q37" s="234">
        <v>35</v>
      </c>
      <c r="S37" s="235"/>
      <c r="T37" s="235"/>
      <c r="U37" s="306"/>
      <c r="V37" s="306">
        <f>Таблица191012[[#This Row],[Грунт]]+Таблица191012[[#This Row],[Щебень]]+Таблица191012[[#This Row],[Асфальт]]+Таблица191012[[#This Row],[Бетон]]</f>
        <v>1</v>
      </c>
      <c r="W37" s="306"/>
      <c r="X37" s="306"/>
      <c r="Y37" s="306"/>
      <c r="Z37" s="306"/>
    </row>
    <row r="38" spans="1:26" s="234" customFormat="1" x14ac:dyDescent="0.35">
      <c r="A38" s="146">
        <v>36</v>
      </c>
      <c r="B38" s="146" t="s">
        <v>71</v>
      </c>
      <c r="C38" s="146" t="s">
        <v>72</v>
      </c>
      <c r="D38" s="146" t="s">
        <v>542</v>
      </c>
      <c r="E38" s="254">
        <f>Таблица191012[[#This Row],[Грунт]]+Таблица191012[[#This Row],[Щебень]]+Таблица191012[[#This Row],[Асфальт]]+Таблица191012[[#This Row],[Бетон]]</f>
        <v>1</v>
      </c>
      <c r="F38" s="311">
        <v>1</v>
      </c>
      <c r="G38" s="140"/>
      <c r="H38" s="249"/>
      <c r="I38" s="139"/>
      <c r="J38" s="232"/>
      <c r="N38" s="234" t="b">
        <f>OR(Таблица191012[[#This Row],[Щебень]]&gt;0,Таблица191012[[#This Row],[Асфальт]]&gt;0,Таблица191012[[#This Row],[Бетон]]&gt;0)</f>
        <v>0</v>
      </c>
      <c r="Q38" s="234">
        <v>36</v>
      </c>
      <c r="S38" s="235"/>
      <c r="T38" s="235"/>
      <c r="U38" s="306"/>
      <c r="V38" s="306">
        <f>Таблица191012[[#This Row],[Грунт]]+Таблица191012[[#This Row],[Щебень]]+Таблица191012[[#This Row],[Асфальт]]+Таблица191012[[#This Row],[Бетон]]</f>
        <v>1</v>
      </c>
      <c r="W38" s="306"/>
      <c r="X38" s="306"/>
      <c r="Y38" s="306"/>
      <c r="Z38" s="306"/>
    </row>
    <row r="39" spans="1:26" s="234" customFormat="1" x14ac:dyDescent="0.35">
      <c r="A39" s="146">
        <v>37</v>
      </c>
      <c r="B39" s="146" t="s">
        <v>73</v>
      </c>
      <c r="C39" s="146" t="s">
        <v>74</v>
      </c>
      <c r="D39" s="146" t="s">
        <v>546</v>
      </c>
      <c r="E39" s="254">
        <f>Таблица191012[[#This Row],[Грунт]]+Таблица191012[[#This Row],[Щебень]]+Таблица191012[[#This Row],[Асфальт]]+Таблица191012[[#This Row],[Бетон]]</f>
        <v>2</v>
      </c>
      <c r="F39" s="311">
        <v>2</v>
      </c>
      <c r="G39" s="140"/>
      <c r="H39" s="249"/>
      <c r="I39" s="139"/>
      <c r="J39" s="232"/>
      <c r="K39" s="234" t="s">
        <v>558</v>
      </c>
      <c r="N39" s="234" t="b">
        <f>OR(Таблица191012[[#This Row],[Щебень]]&gt;0,Таблица191012[[#This Row],[Асфальт]]&gt;0,Таблица191012[[#This Row],[Бетон]]&gt;0)</f>
        <v>0</v>
      </c>
      <c r="Q39" s="234">
        <v>37</v>
      </c>
      <c r="S39" s="235"/>
      <c r="T39" s="235"/>
      <c r="U39" s="306"/>
      <c r="V39" s="306">
        <f>Таблица191012[[#This Row],[Грунт]]+Таблица191012[[#This Row],[Щебень]]+Таблица191012[[#This Row],[Асфальт]]+Таблица191012[[#This Row],[Бетон]]</f>
        <v>2</v>
      </c>
      <c r="W39" s="306"/>
      <c r="X39" s="306"/>
      <c r="Y39" s="306"/>
      <c r="Z39" s="306"/>
    </row>
    <row r="40" spans="1:26" s="234" customFormat="1" ht="46.5" customHeight="1" x14ac:dyDescent="0.35">
      <c r="A40" s="146">
        <v>38</v>
      </c>
      <c r="B40" s="146" t="s">
        <v>75</v>
      </c>
      <c r="C40" s="146" t="s">
        <v>76</v>
      </c>
      <c r="D40" s="146" t="s">
        <v>548</v>
      </c>
      <c r="E40" s="254">
        <f>Таблица191012[[#This Row],[Грунт]]+Таблица191012[[#This Row],[Щебень]]+Таблица191012[[#This Row],[Асфальт]]+Таблица191012[[#This Row],[Бетон]]</f>
        <v>3</v>
      </c>
      <c r="F40" s="311">
        <v>3</v>
      </c>
      <c r="G40" s="140"/>
      <c r="H40" s="249"/>
      <c r="I40" s="139"/>
      <c r="J40" s="232"/>
      <c r="N40" s="234" t="b">
        <f>OR(Таблица191012[[#This Row],[Щебень]]&gt;0,Таблица191012[[#This Row],[Асфальт]]&gt;0,Таблица191012[[#This Row],[Бетон]]&gt;0)</f>
        <v>0</v>
      </c>
      <c r="Q40" s="234">
        <v>38</v>
      </c>
      <c r="S40" s="235"/>
      <c r="T40" s="235"/>
      <c r="U40" s="306"/>
      <c r="V40" s="306">
        <f>Таблица191012[[#This Row],[Грунт]]+Таблица191012[[#This Row],[Щебень]]+Таблица191012[[#This Row],[Асфальт]]+Таблица191012[[#This Row],[Бетон]]</f>
        <v>3</v>
      </c>
      <c r="W40" s="306"/>
      <c r="X40" s="306"/>
      <c r="Y40" s="306"/>
      <c r="Z40" s="306"/>
    </row>
    <row r="41" spans="1:26" s="234" customFormat="1" ht="33.75" customHeight="1" x14ac:dyDescent="0.35">
      <c r="A41" s="146">
        <v>39</v>
      </c>
      <c r="B41" s="146" t="s">
        <v>77</v>
      </c>
      <c r="C41" s="146" t="s">
        <v>78</v>
      </c>
      <c r="D41" s="146" t="s">
        <v>546</v>
      </c>
      <c r="E41" s="254">
        <f>Таблица191012[[#This Row],[Грунт]]+Таблица191012[[#This Row],[Щебень]]+Таблица191012[[#This Row],[Асфальт]]+Таблица191012[[#This Row],[Бетон]]</f>
        <v>5</v>
      </c>
      <c r="F41" s="311"/>
      <c r="G41" s="140"/>
      <c r="H41" s="249">
        <v>5</v>
      </c>
      <c r="I41" s="139"/>
      <c r="J41" s="232"/>
      <c r="K41" s="233" t="s">
        <v>557</v>
      </c>
      <c r="N41" s="234" t="b">
        <f>OR(Таблица191012[[#This Row],[Щебень]]&gt;0,Таблица191012[[#This Row],[Асфальт]]&gt;0,Таблица191012[[#This Row],[Бетон]]&gt;0)</f>
        <v>1</v>
      </c>
      <c r="O41" s="234">
        <v>1</v>
      </c>
      <c r="P41" s="234">
        <v>1</v>
      </c>
      <c r="Q41" s="234">
        <v>39</v>
      </c>
      <c r="S41" s="235"/>
      <c r="T41" s="235"/>
      <c r="U41" s="306"/>
      <c r="V41" s="306">
        <f>Таблица191012[[#This Row],[Грунт]]+Таблица191012[[#This Row],[Щебень]]+Таблица191012[[#This Row],[Асфальт]]+Таблица191012[[#This Row],[Бетон]]</f>
        <v>5</v>
      </c>
      <c r="W41" s="306"/>
      <c r="X41" s="306"/>
      <c r="Y41" s="306"/>
      <c r="Z41" s="306"/>
    </row>
    <row r="42" spans="1:26" s="234" customFormat="1" ht="46.5" x14ac:dyDescent="0.35">
      <c r="A42" s="146">
        <v>40</v>
      </c>
      <c r="B42" s="146" t="s">
        <v>79</v>
      </c>
      <c r="C42" s="146" t="s">
        <v>532</v>
      </c>
      <c r="D42" s="146" t="s">
        <v>546</v>
      </c>
      <c r="E42" s="254">
        <f>Таблица191012[[#This Row],[Грунт]]+Таблица191012[[#This Row],[Щебень]]+Таблица191012[[#This Row],[Асфальт]]+Таблица191012[[#This Row],[Бетон]]</f>
        <v>3</v>
      </c>
      <c r="F42" s="311">
        <v>3</v>
      </c>
      <c r="G42" s="140"/>
      <c r="H42" s="249"/>
      <c r="I42" s="139"/>
      <c r="J42" s="232"/>
      <c r="N42" s="234" t="b">
        <f>OR(Таблица191012[[#This Row],[Щебень]]&gt;0,Таблица191012[[#This Row],[Асфальт]]&gt;0,Таблица191012[[#This Row],[Бетон]]&gt;0)</f>
        <v>0</v>
      </c>
      <c r="Q42" s="234">
        <v>40</v>
      </c>
      <c r="S42" s="235"/>
      <c r="T42" s="235"/>
      <c r="U42" s="306"/>
      <c r="V42" s="306">
        <f>Таблица191012[[#This Row],[Грунт]]+Таблица191012[[#This Row],[Щебень]]+Таблица191012[[#This Row],[Асфальт]]+Таблица191012[[#This Row],[Бетон]]</f>
        <v>3</v>
      </c>
      <c r="W42" s="306"/>
      <c r="X42" s="306"/>
      <c r="Y42" s="306"/>
      <c r="Z42" s="306"/>
    </row>
    <row r="43" spans="1:26" s="234" customFormat="1" x14ac:dyDescent="0.35">
      <c r="A43" s="146">
        <v>41</v>
      </c>
      <c r="B43" s="146" t="s">
        <v>80</v>
      </c>
      <c r="C43" s="146" t="s">
        <v>81</v>
      </c>
      <c r="D43" s="146" t="s">
        <v>546</v>
      </c>
      <c r="E43" s="254">
        <f>Таблица191012[[#This Row],[Грунт]]+Таблица191012[[#This Row],[Щебень]]+Таблица191012[[#This Row],[Асфальт]]+Таблица191012[[#This Row],[Бетон]]</f>
        <v>1.5</v>
      </c>
      <c r="F43" s="311"/>
      <c r="G43" s="140"/>
      <c r="H43" s="295">
        <v>1.5</v>
      </c>
      <c r="I43" s="139"/>
      <c r="J43" s="232"/>
      <c r="K43" s="233" t="s">
        <v>557</v>
      </c>
      <c r="N43" s="234" t="b">
        <f>OR(Таблица191012[[#This Row],[Щебень]]&gt;0,Таблица191012[[#This Row],[Асфальт]]&gt;0,Таблица191012[[#This Row],[Бетон]]&gt;0)</f>
        <v>1</v>
      </c>
      <c r="Q43" s="234">
        <v>41</v>
      </c>
      <c r="S43" s="235"/>
      <c r="T43" s="235"/>
      <c r="U43" s="306"/>
      <c r="V43" s="306">
        <f>Таблица191012[[#This Row],[Грунт]]+Таблица191012[[#This Row],[Щебень]]+Таблица191012[[#This Row],[Асфальт]]+Таблица191012[[#This Row],[Бетон]]</f>
        <v>1.5</v>
      </c>
      <c r="W43" s="306"/>
      <c r="X43" s="306"/>
      <c r="Y43" s="306"/>
      <c r="Z43" s="306"/>
    </row>
    <row r="44" spans="1:26" s="234" customFormat="1" ht="46.5" x14ac:dyDescent="0.35">
      <c r="A44" s="146">
        <v>42</v>
      </c>
      <c r="B44" s="146" t="s">
        <v>82</v>
      </c>
      <c r="C44" s="146" t="s">
        <v>83</v>
      </c>
      <c r="D44" s="146" t="s">
        <v>546</v>
      </c>
      <c r="E44" s="254">
        <f>Таблица191012[[#This Row],[Грунт]]+Таблица191012[[#This Row],[Щебень]]+Таблица191012[[#This Row],[Асфальт]]+Таблица191012[[#This Row],[Бетон]]</f>
        <v>4</v>
      </c>
      <c r="F44" s="311">
        <v>4</v>
      </c>
      <c r="G44" s="140"/>
      <c r="H44" s="249"/>
      <c r="I44" s="139"/>
      <c r="J44" s="232"/>
      <c r="N44" s="234" t="b">
        <f>OR(Таблица191012[[#This Row],[Щебень]]&gt;0,Таблица191012[[#This Row],[Асфальт]]&gt;0,Таблица191012[[#This Row],[Бетон]]&gt;0)</f>
        <v>0</v>
      </c>
      <c r="Q44" s="234">
        <v>42</v>
      </c>
      <c r="S44" s="235"/>
      <c r="T44" s="235"/>
      <c r="U44" s="306"/>
      <c r="V44" s="306">
        <f>Таблица191012[[#This Row],[Грунт]]+Таблица191012[[#This Row],[Щебень]]+Таблица191012[[#This Row],[Асфальт]]+Таблица191012[[#This Row],[Бетон]]</f>
        <v>4</v>
      </c>
      <c r="W44" s="306"/>
      <c r="X44" s="306"/>
      <c r="Y44" s="306"/>
      <c r="Z44" s="306"/>
    </row>
    <row r="45" spans="1:26" s="234" customFormat="1" x14ac:dyDescent="0.35">
      <c r="A45" s="146">
        <v>43</v>
      </c>
      <c r="B45" s="146" t="s">
        <v>84</v>
      </c>
      <c r="C45" s="146" t="s">
        <v>85</v>
      </c>
      <c r="D45" s="146" t="s">
        <v>546</v>
      </c>
      <c r="E45" s="254">
        <f>Таблица191012[[#This Row],[Грунт]]+Таблица191012[[#This Row],[Щебень]]+Таблица191012[[#This Row],[Асфальт]]+Таблица191012[[#This Row],[Бетон]]</f>
        <v>2</v>
      </c>
      <c r="F45" s="311">
        <v>2</v>
      </c>
      <c r="G45" s="140"/>
      <c r="H45" s="249"/>
      <c r="I45" s="139"/>
      <c r="J45" s="232"/>
      <c r="N45" s="234" t="b">
        <f>OR(Таблица191012[[#This Row],[Щебень]]&gt;0,Таблица191012[[#This Row],[Асфальт]]&gt;0,Таблица191012[[#This Row],[Бетон]]&gt;0)</f>
        <v>0</v>
      </c>
      <c r="Q45" s="234">
        <v>43</v>
      </c>
      <c r="S45" s="235"/>
      <c r="T45" s="235"/>
      <c r="U45" s="306"/>
      <c r="V45" s="306">
        <f>Таблица191012[[#This Row],[Грунт]]+Таблица191012[[#This Row],[Щебень]]+Таблица191012[[#This Row],[Асфальт]]+Таблица191012[[#This Row],[Бетон]]</f>
        <v>2</v>
      </c>
      <c r="W45" s="306"/>
      <c r="X45" s="306"/>
      <c r="Y45" s="306"/>
      <c r="Z45" s="306"/>
    </row>
    <row r="46" spans="1:26" s="234" customFormat="1" x14ac:dyDescent="0.35">
      <c r="A46" s="146">
        <v>44</v>
      </c>
      <c r="B46" s="146" t="s">
        <v>86</v>
      </c>
      <c r="C46" s="146" t="s">
        <v>87</v>
      </c>
      <c r="D46" s="146" t="s">
        <v>546</v>
      </c>
      <c r="E46" s="254">
        <f>Таблица191012[[#This Row],[Грунт]]+Таблица191012[[#This Row],[Щебень]]+Таблица191012[[#This Row],[Асфальт]]+Таблица191012[[#This Row],[Бетон]]</f>
        <v>3.5</v>
      </c>
      <c r="F46" s="311">
        <v>0</v>
      </c>
      <c r="G46" s="140"/>
      <c r="H46" s="249">
        <v>3.5</v>
      </c>
      <c r="I46" s="139"/>
      <c r="J46" s="232"/>
      <c r="K46" s="233" t="s">
        <v>557</v>
      </c>
      <c r="N46" s="234" t="b">
        <f>OR(Таблица191012[[#This Row],[Щебень]]&gt;0,Таблица191012[[#This Row],[Асфальт]]&gt;0,Таблица191012[[#This Row],[Бетон]]&gt;0)</f>
        <v>1</v>
      </c>
      <c r="O46" s="234">
        <v>1</v>
      </c>
      <c r="P46" s="234">
        <v>1</v>
      </c>
      <c r="Q46" s="234">
        <v>44</v>
      </c>
      <c r="S46" s="235"/>
      <c r="T46" s="235"/>
      <c r="U46" s="306"/>
      <c r="V46" s="306">
        <f>Таблица191012[[#This Row],[Грунт]]+Таблица191012[[#This Row],[Щебень]]+Таблица191012[[#This Row],[Асфальт]]+Таблица191012[[#This Row],[Бетон]]</f>
        <v>3.5</v>
      </c>
      <c r="W46" s="306"/>
      <c r="X46" s="306"/>
      <c r="Y46" s="306"/>
      <c r="Z46" s="306"/>
    </row>
    <row r="47" spans="1:26" s="234" customFormat="1" x14ac:dyDescent="0.35">
      <c r="A47" s="146">
        <v>45</v>
      </c>
      <c r="B47" s="146" t="s">
        <v>88</v>
      </c>
      <c r="C47" s="146" t="s">
        <v>89</v>
      </c>
      <c r="D47" s="146" t="s">
        <v>550</v>
      </c>
      <c r="E47" s="254">
        <f>Таблица191012[[#This Row],[Грунт]]+Таблица191012[[#This Row],[Щебень]]+Таблица191012[[#This Row],[Асфальт]]+Таблица191012[[#This Row],[Бетон]]</f>
        <v>0.4</v>
      </c>
      <c r="F47" s="311">
        <v>0.4</v>
      </c>
      <c r="G47" s="140"/>
      <c r="H47" s="249"/>
      <c r="I47" s="139"/>
      <c r="J47" s="232"/>
      <c r="N47" s="234" t="b">
        <f>OR(Таблица191012[[#This Row],[Щебень]]&gt;0,Таблица191012[[#This Row],[Асфальт]]&gt;0,Таблица191012[[#This Row],[Бетон]]&gt;0)</f>
        <v>0</v>
      </c>
      <c r="Q47" s="234">
        <v>45</v>
      </c>
      <c r="S47" s="235"/>
      <c r="T47" s="235"/>
      <c r="U47" s="306"/>
      <c r="V47" s="306">
        <f>Таблица191012[[#This Row],[Грунт]]+Таблица191012[[#This Row],[Щебень]]+Таблица191012[[#This Row],[Асфальт]]+Таблица191012[[#This Row],[Бетон]]</f>
        <v>0.4</v>
      </c>
      <c r="W47" s="306"/>
      <c r="X47" s="306"/>
      <c r="Y47" s="306"/>
      <c r="Z47" s="306"/>
    </row>
    <row r="48" spans="1:26" s="234" customFormat="1" x14ac:dyDescent="0.35">
      <c r="A48" s="146">
        <v>46</v>
      </c>
      <c r="B48" s="146" t="s">
        <v>90</v>
      </c>
      <c r="C48" s="146" t="s">
        <v>91</v>
      </c>
      <c r="D48" s="146" t="s">
        <v>550</v>
      </c>
      <c r="E48" s="254">
        <f>Таблица191012[[#This Row],[Грунт]]+Таблица191012[[#This Row],[Щебень]]+Таблица191012[[#This Row],[Асфальт]]+Таблица191012[[#This Row],[Бетон]]</f>
        <v>0.65</v>
      </c>
      <c r="F48" s="311"/>
      <c r="G48" s="140"/>
      <c r="H48" s="249">
        <v>0.65</v>
      </c>
      <c r="I48" s="139"/>
      <c r="J48" s="232"/>
      <c r="K48" s="234" t="s">
        <v>558</v>
      </c>
      <c r="N48" s="234" t="b">
        <f>OR(Таблица191012[[#This Row],[Щебень]]&gt;0,Таблица191012[[#This Row],[Асфальт]]&gt;0,Таблица191012[[#This Row],[Бетон]]&gt;0)</f>
        <v>1</v>
      </c>
      <c r="O48" s="234">
        <v>1</v>
      </c>
      <c r="P48" s="234">
        <v>1</v>
      </c>
      <c r="Q48" s="234">
        <v>46</v>
      </c>
      <c r="S48" s="235"/>
      <c r="T48" s="235"/>
      <c r="U48" s="306"/>
      <c r="V48" s="306">
        <f>Таблица191012[[#This Row],[Грунт]]+Таблица191012[[#This Row],[Щебень]]+Таблица191012[[#This Row],[Асфальт]]+Таблица191012[[#This Row],[Бетон]]</f>
        <v>0.65</v>
      </c>
      <c r="W48" s="306"/>
      <c r="X48" s="306"/>
      <c r="Y48" s="306"/>
      <c r="Z48" s="306"/>
    </row>
    <row r="49" spans="1:26" s="234" customFormat="1" x14ac:dyDescent="0.35">
      <c r="A49" s="146">
        <v>47</v>
      </c>
      <c r="B49" s="146" t="s">
        <v>92</v>
      </c>
      <c r="C49" s="146" t="s">
        <v>93</v>
      </c>
      <c r="D49" s="146" t="s">
        <v>539</v>
      </c>
      <c r="E49" s="254">
        <f>Таблица191012[[#This Row],[Грунт]]+Таблица191012[[#This Row],[Щебень]]+Таблица191012[[#This Row],[Асфальт]]+Таблица191012[[#This Row],[Бетон]]</f>
        <v>5</v>
      </c>
      <c r="F49" s="311">
        <v>5</v>
      </c>
      <c r="G49" s="140"/>
      <c r="H49" s="249"/>
      <c r="I49" s="139"/>
      <c r="J49" s="232"/>
      <c r="N49" s="234" t="b">
        <f>OR(Таблица191012[[#This Row],[Щебень]]&gt;0,Таблица191012[[#This Row],[Асфальт]]&gt;0,Таблица191012[[#This Row],[Бетон]]&gt;0)</f>
        <v>0</v>
      </c>
      <c r="Q49" s="234">
        <v>47</v>
      </c>
      <c r="S49" s="235"/>
      <c r="T49" s="235"/>
      <c r="U49" s="306"/>
      <c r="V49" s="306">
        <f>Таблица191012[[#This Row],[Грунт]]+Таблица191012[[#This Row],[Щебень]]+Таблица191012[[#This Row],[Асфальт]]+Таблица191012[[#This Row],[Бетон]]</f>
        <v>5</v>
      </c>
      <c r="W49" s="306"/>
      <c r="X49" s="306"/>
      <c r="Y49" s="306"/>
      <c r="Z49" s="306"/>
    </row>
    <row r="50" spans="1:26" s="234" customFormat="1" x14ac:dyDescent="0.35">
      <c r="A50" s="146">
        <v>48</v>
      </c>
      <c r="B50" s="146" t="s">
        <v>94</v>
      </c>
      <c r="C50" s="146" t="s">
        <v>95</v>
      </c>
      <c r="D50" s="146" t="s">
        <v>539</v>
      </c>
      <c r="E50" s="254">
        <f>Таблица191012[[#This Row],[Грунт]]+Таблица191012[[#This Row],[Щебень]]+Таблица191012[[#This Row],[Асфальт]]+Таблица191012[[#This Row],[Бетон]]</f>
        <v>4</v>
      </c>
      <c r="F50" s="311">
        <v>4</v>
      </c>
      <c r="G50" s="140"/>
      <c r="H50" s="249"/>
      <c r="I50" s="139"/>
      <c r="J50" s="232"/>
      <c r="K50" s="233" t="s">
        <v>557</v>
      </c>
      <c r="N50" s="234" t="b">
        <f>OR(Таблица191012[[#This Row],[Щебень]]&gt;0,Таблица191012[[#This Row],[Асфальт]]&gt;0,Таблица191012[[#This Row],[Бетон]]&gt;0)</f>
        <v>0</v>
      </c>
      <c r="Q50" s="234">
        <v>48</v>
      </c>
      <c r="S50" s="235"/>
      <c r="T50" s="235"/>
      <c r="U50" s="306"/>
      <c r="V50" s="306">
        <f>Таблица191012[[#This Row],[Грунт]]+Таблица191012[[#This Row],[Щебень]]+Таблица191012[[#This Row],[Асфальт]]+Таблица191012[[#This Row],[Бетон]]</f>
        <v>4</v>
      </c>
      <c r="W50" s="306"/>
      <c r="X50" s="306"/>
      <c r="Y50" s="306"/>
      <c r="Z50" s="306"/>
    </row>
    <row r="51" spans="1:26" s="234" customFormat="1" x14ac:dyDescent="0.35">
      <c r="A51" s="146">
        <v>49</v>
      </c>
      <c r="B51" s="146" t="s">
        <v>96</v>
      </c>
      <c r="C51" s="146" t="s">
        <v>97</v>
      </c>
      <c r="D51" s="146" t="s">
        <v>539</v>
      </c>
      <c r="E51" s="254">
        <f>Таблица191012[[#This Row],[Грунт]]+Таблица191012[[#This Row],[Щебень]]+Таблица191012[[#This Row],[Асфальт]]+Таблица191012[[#This Row],[Бетон]]</f>
        <v>4</v>
      </c>
      <c r="F51" s="311">
        <v>4</v>
      </c>
      <c r="G51" s="140"/>
      <c r="H51" s="249"/>
      <c r="I51" s="139"/>
      <c r="J51" s="232"/>
      <c r="N51" s="234" t="b">
        <f>OR(Таблица191012[[#This Row],[Щебень]]&gt;0,Таблица191012[[#This Row],[Асфальт]]&gt;0,Таблица191012[[#This Row],[Бетон]]&gt;0)</f>
        <v>0</v>
      </c>
      <c r="Q51" s="234">
        <v>49</v>
      </c>
      <c r="S51" s="235"/>
      <c r="T51" s="235"/>
      <c r="U51" s="306"/>
      <c r="V51" s="306">
        <f>Таблица191012[[#This Row],[Грунт]]+Таблица191012[[#This Row],[Щебень]]+Таблица191012[[#This Row],[Асфальт]]+Таблица191012[[#This Row],[Бетон]]</f>
        <v>4</v>
      </c>
      <c r="W51" s="306"/>
      <c r="X51" s="306"/>
      <c r="Y51" s="306"/>
      <c r="Z51" s="306"/>
    </row>
    <row r="52" spans="1:26" s="234" customFormat="1" x14ac:dyDescent="0.35">
      <c r="A52" s="146">
        <v>50</v>
      </c>
      <c r="B52" s="146" t="s">
        <v>98</v>
      </c>
      <c r="C52" s="146" t="s">
        <v>99</v>
      </c>
      <c r="D52" s="146" t="s">
        <v>539</v>
      </c>
      <c r="E52" s="254">
        <f>Таблица191012[[#This Row],[Грунт]]+Таблица191012[[#This Row],[Щебень]]+Таблица191012[[#This Row],[Асфальт]]+Таблица191012[[#This Row],[Бетон]]</f>
        <v>2</v>
      </c>
      <c r="F52" s="311">
        <v>2</v>
      </c>
      <c r="G52" s="140"/>
      <c r="H52" s="249"/>
      <c r="I52" s="139"/>
      <c r="J52" s="232"/>
      <c r="N52" s="234" t="b">
        <f>OR(Таблица191012[[#This Row],[Щебень]]&gt;0,Таблица191012[[#This Row],[Асфальт]]&gt;0,Таблица191012[[#This Row],[Бетон]]&gt;0)</f>
        <v>0</v>
      </c>
      <c r="Q52" s="234">
        <v>50</v>
      </c>
      <c r="S52" s="235"/>
      <c r="T52" s="235"/>
      <c r="U52" s="306"/>
      <c r="V52" s="306">
        <f>Таблица191012[[#This Row],[Грунт]]+Таблица191012[[#This Row],[Щебень]]+Таблица191012[[#This Row],[Асфальт]]+Таблица191012[[#This Row],[Бетон]]</f>
        <v>2</v>
      </c>
      <c r="W52" s="306"/>
      <c r="X52" s="306"/>
      <c r="Y52" s="306"/>
      <c r="Z52" s="306"/>
    </row>
    <row r="53" spans="1:26" s="234" customFormat="1" x14ac:dyDescent="0.35">
      <c r="A53" s="146">
        <v>51</v>
      </c>
      <c r="B53" s="146" t="s">
        <v>100</v>
      </c>
      <c r="C53" s="146" t="s">
        <v>101</v>
      </c>
      <c r="D53" s="146" t="s">
        <v>539</v>
      </c>
      <c r="E53" s="254">
        <f>Таблица191012[[#This Row],[Грунт]]+Таблица191012[[#This Row],[Щебень]]+Таблица191012[[#This Row],[Асфальт]]+Таблица191012[[#This Row],[Бетон]]</f>
        <v>2</v>
      </c>
      <c r="F53" s="311">
        <v>2</v>
      </c>
      <c r="G53" s="140"/>
      <c r="H53" s="249"/>
      <c r="I53" s="139"/>
      <c r="J53" s="232"/>
      <c r="N53" s="234" t="b">
        <f>OR(Таблица191012[[#This Row],[Щебень]]&gt;0,Таблица191012[[#This Row],[Асфальт]]&gt;0,Таблица191012[[#This Row],[Бетон]]&gt;0)</f>
        <v>0</v>
      </c>
      <c r="Q53" s="234">
        <v>51</v>
      </c>
      <c r="S53" s="235"/>
      <c r="T53" s="235"/>
      <c r="U53" s="306"/>
      <c r="V53" s="306">
        <f>Таблица191012[[#This Row],[Грунт]]+Таблица191012[[#This Row],[Щебень]]+Таблица191012[[#This Row],[Асфальт]]+Таблица191012[[#This Row],[Бетон]]</f>
        <v>2</v>
      </c>
      <c r="W53" s="306"/>
      <c r="X53" s="306"/>
      <c r="Y53" s="306"/>
      <c r="Z53" s="306"/>
    </row>
    <row r="54" spans="1:26" s="234" customFormat="1" x14ac:dyDescent="0.35">
      <c r="A54" s="146">
        <v>52</v>
      </c>
      <c r="B54" s="146" t="s">
        <v>102</v>
      </c>
      <c r="C54" s="146" t="s">
        <v>103</v>
      </c>
      <c r="D54" s="146" t="s">
        <v>539</v>
      </c>
      <c r="E54" s="254">
        <f>Таблица191012[[#This Row],[Грунт]]+Таблица191012[[#This Row],[Щебень]]+Таблица191012[[#This Row],[Асфальт]]+Таблица191012[[#This Row],[Бетон]]</f>
        <v>3</v>
      </c>
      <c r="F54" s="311">
        <v>3</v>
      </c>
      <c r="G54" s="140"/>
      <c r="H54" s="249"/>
      <c r="I54" s="139"/>
      <c r="J54" s="232"/>
      <c r="N54" s="234" t="b">
        <f>OR(Таблица191012[[#This Row],[Щебень]]&gt;0,Таблица191012[[#This Row],[Асфальт]]&gt;0,Таблица191012[[#This Row],[Бетон]]&gt;0)</f>
        <v>0</v>
      </c>
      <c r="Q54" s="234">
        <v>52</v>
      </c>
      <c r="S54" s="235"/>
      <c r="T54" s="235"/>
      <c r="U54" s="306"/>
      <c r="V54" s="306">
        <f>Таблица191012[[#This Row],[Грунт]]+Таблица191012[[#This Row],[Щебень]]+Таблица191012[[#This Row],[Асфальт]]+Таблица191012[[#This Row],[Бетон]]</f>
        <v>3</v>
      </c>
      <c r="W54" s="306"/>
      <c r="X54" s="306"/>
      <c r="Y54" s="306"/>
      <c r="Z54" s="306"/>
    </row>
    <row r="55" spans="1:26" s="234" customFormat="1" x14ac:dyDescent="0.35">
      <c r="A55" s="146">
        <v>53</v>
      </c>
      <c r="B55" s="146" t="s">
        <v>104</v>
      </c>
      <c r="C55" s="146" t="s">
        <v>105</v>
      </c>
      <c r="D55" s="146" t="s">
        <v>539</v>
      </c>
      <c r="E55" s="254">
        <f>Таблица191012[[#This Row],[Грунт]]+Таблица191012[[#This Row],[Щебень]]+Таблица191012[[#This Row],[Асфальт]]+Таблица191012[[#This Row],[Бетон]]</f>
        <v>2</v>
      </c>
      <c r="F55" s="311">
        <v>2</v>
      </c>
      <c r="G55" s="140"/>
      <c r="H55" s="249"/>
      <c r="I55" s="139"/>
      <c r="J55" s="232"/>
      <c r="N55" s="234" t="b">
        <f>OR(Таблица191012[[#This Row],[Щебень]]&gt;0,Таблица191012[[#This Row],[Асфальт]]&gt;0,Таблица191012[[#This Row],[Бетон]]&gt;0)</f>
        <v>0</v>
      </c>
      <c r="Q55" s="234">
        <v>53</v>
      </c>
      <c r="S55" s="235"/>
      <c r="T55" s="235"/>
      <c r="U55" s="306"/>
      <c r="V55" s="306">
        <f>Таблица191012[[#This Row],[Грунт]]+Таблица191012[[#This Row],[Щебень]]+Таблица191012[[#This Row],[Асфальт]]+Таблица191012[[#This Row],[Бетон]]</f>
        <v>2</v>
      </c>
      <c r="W55" s="306"/>
      <c r="X55" s="306"/>
      <c r="Y55" s="306"/>
      <c r="Z55" s="306"/>
    </row>
    <row r="56" spans="1:26" s="234" customFormat="1" x14ac:dyDescent="0.35">
      <c r="A56" s="146">
        <v>54</v>
      </c>
      <c r="B56" s="146" t="s">
        <v>106</v>
      </c>
      <c r="C56" s="146" t="s">
        <v>107</v>
      </c>
      <c r="D56" s="146" t="s">
        <v>539</v>
      </c>
      <c r="E56" s="254">
        <f>Таблица191012[[#This Row],[Грунт]]+Таблица191012[[#This Row],[Щебень]]+Таблица191012[[#This Row],[Асфальт]]+Таблица191012[[#This Row],[Бетон]]</f>
        <v>2</v>
      </c>
      <c r="F56" s="311">
        <v>2</v>
      </c>
      <c r="G56" s="140"/>
      <c r="H56" s="249"/>
      <c r="I56" s="139"/>
      <c r="J56" s="232"/>
      <c r="N56" s="234" t="b">
        <f>OR(Таблица191012[[#This Row],[Щебень]]&gt;0,Таблица191012[[#This Row],[Асфальт]]&gt;0,Таблица191012[[#This Row],[Бетон]]&gt;0)</f>
        <v>0</v>
      </c>
      <c r="Q56" s="234">
        <v>54</v>
      </c>
      <c r="S56" s="235"/>
      <c r="T56" s="235"/>
      <c r="U56" s="306"/>
      <c r="V56" s="306">
        <f>Таблица191012[[#This Row],[Грунт]]+Таблица191012[[#This Row],[Щебень]]+Таблица191012[[#This Row],[Асфальт]]+Таблица191012[[#This Row],[Бетон]]</f>
        <v>2</v>
      </c>
      <c r="W56" s="306"/>
      <c r="X56" s="306"/>
      <c r="Y56" s="306"/>
      <c r="Z56" s="306"/>
    </row>
    <row r="57" spans="1:26" s="234" customFormat="1" x14ac:dyDescent="0.35">
      <c r="A57" s="146">
        <v>55</v>
      </c>
      <c r="B57" s="146" t="s">
        <v>108</v>
      </c>
      <c r="C57" s="146" t="s">
        <v>109</v>
      </c>
      <c r="D57" s="146" t="s">
        <v>539</v>
      </c>
      <c r="E57" s="254">
        <f>Таблица191012[[#This Row],[Грунт]]+Таблица191012[[#This Row],[Щебень]]+Таблица191012[[#This Row],[Асфальт]]+Таблица191012[[#This Row],[Бетон]]</f>
        <v>2</v>
      </c>
      <c r="F57" s="311">
        <v>2</v>
      </c>
      <c r="G57" s="140"/>
      <c r="H57" s="249"/>
      <c r="I57" s="139"/>
      <c r="J57" s="232"/>
      <c r="N57" s="234" t="b">
        <f>OR(Таблица191012[[#This Row],[Щебень]]&gt;0,Таблица191012[[#This Row],[Асфальт]]&gt;0,Таблица191012[[#This Row],[Бетон]]&gt;0)</f>
        <v>0</v>
      </c>
      <c r="Q57" s="234">
        <v>55</v>
      </c>
      <c r="S57" s="235"/>
      <c r="T57" s="235"/>
      <c r="U57" s="306"/>
      <c r="V57" s="306">
        <f>Таблица191012[[#This Row],[Грунт]]+Таблица191012[[#This Row],[Щебень]]+Таблица191012[[#This Row],[Асфальт]]+Таблица191012[[#This Row],[Бетон]]</f>
        <v>2</v>
      </c>
      <c r="W57" s="306"/>
      <c r="X57" s="306"/>
      <c r="Y57" s="306"/>
      <c r="Z57" s="306"/>
    </row>
    <row r="58" spans="1:26" s="234" customFormat="1" x14ac:dyDescent="0.35">
      <c r="A58" s="146">
        <v>56</v>
      </c>
      <c r="B58" s="146" t="s">
        <v>110</v>
      </c>
      <c r="C58" s="146" t="s">
        <v>111</v>
      </c>
      <c r="D58" s="146" t="s">
        <v>539</v>
      </c>
      <c r="E58" s="254">
        <f>Таблица191012[[#This Row],[Грунт]]+Таблица191012[[#This Row],[Щебень]]+Таблица191012[[#This Row],[Асфальт]]+Таблица191012[[#This Row],[Бетон]]</f>
        <v>2</v>
      </c>
      <c r="F58" s="311">
        <v>2</v>
      </c>
      <c r="G58" s="140"/>
      <c r="H58" s="249"/>
      <c r="I58" s="139"/>
      <c r="J58" s="232"/>
      <c r="N58" s="234" t="b">
        <f>OR(Таблица191012[[#This Row],[Щебень]]&gt;0,Таблица191012[[#This Row],[Асфальт]]&gt;0,Таблица191012[[#This Row],[Бетон]]&gt;0)</f>
        <v>0</v>
      </c>
      <c r="Q58" s="234">
        <v>56</v>
      </c>
      <c r="S58" s="235"/>
      <c r="T58" s="235"/>
      <c r="U58" s="306"/>
      <c r="V58" s="306">
        <f>Таблица191012[[#This Row],[Грунт]]+Таблица191012[[#This Row],[Щебень]]+Таблица191012[[#This Row],[Асфальт]]+Таблица191012[[#This Row],[Бетон]]</f>
        <v>2</v>
      </c>
      <c r="W58" s="306"/>
      <c r="X58" s="306"/>
      <c r="Y58" s="306"/>
      <c r="Z58" s="306"/>
    </row>
    <row r="59" spans="1:26" s="234" customFormat="1" x14ac:dyDescent="0.35">
      <c r="A59" s="146">
        <v>57</v>
      </c>
      <c r="B59" s="146" t="s">
        <v>112</v>
      </c>
      <c r="C59" s="146" t="s">
        <v>113</v>
      </c>
      <c r="D59" s="146" t="s">
        <v>539</v>
      </c>
      <c r="E59" s="254">
        <f>Таблица191012[[#This Row],[Грунт]]+Таблица191012[[#This Row],[Щебень]]+Таблица191012[[#This Row],[Асфальт]]+Таблица191012[[#This Row],[Бетон]]</f>
        <v>2</v>
      </c>
      <c r="F59" s="311"/>
      <c r="G59" s="140">
        <v>2</v>
      </c>
      <c r="H59" s="249"/>
      <c r="I59" s="139"/>
      <c r="J59" s="232"/>
      <c r="N59" s="234" t="b">
        <f>OR(Таблица191012[[#This Row],[Щебень]]&gt;0,Таблица191012[[#This Row],[Асфальт]]&gt;0,Таблица191012[[#This Row],[Бетон]]&gt;0)</f>
        <v>1</v>
      </c>
      <c r="Q59" s="234">
        <v>57</v>
      </c>
      <c r="S59" s="235"/>
      <c r="T59" s="235"/>
      <c r="U59" s="306"/>
      <c r="V59" s="306">
        <f>Таблица191012[[#This Row],[Грунт]]+Таблица191012[[#This Row],[Щебень]]+Таблица191012[[#This Row],[Асфальт]]+Таблица191012[[#This Row],[Бетон]]</f>
        <v>2</v>
      </c>
      <c r="W59" s="306"/>
      <c r="X59" s="306"/>
      <c r="Y59" s="306"/>
      <c r="Z59" s="306"/>
    </row>
    <row r="60" spans="1:26" s="234" customFormat="1" ht="46.5" x14ac:dyDescent="0.35">
      <c r="A60" s="146">
        <v>58</v>
      </c>
      <c r="B60" s="146" t="s">
        <v>114</v>
      </c>
      <c r="C60" s="146" t="s">
        <v>533</v>
      </c>
      <c r="D60" s="146" t="s">
        <v>539</v>
      </c>
      <c r="E60" s="254">
        <f>Таблица191012[[#This Row],[Грунт]]+Таблица191012[[#This Row],[Щебень]]+Таблица191012[[#This Row],[Асфальт]]+Таблица191012[[#This Row],[Бетон]]</f>
        <v>4</v>
      </c>
      <c r="F60" s="311">
        <v>1.5</v>
      </c>
      <c r="G60" s="140">
        <v>2.5</v>
      </c>
      <c r="H60" s="249"/>
      <c r="I60" s="139"/>
      <c r="J60" s="232"/>
      <c r="K60" s="233" t="s">
        <v>557</v>
      </c>
      <c r="N60" s="234" t="b">
        <f>OR(Таблица191012[[#This Row],[Щебень]]&gt;0,Таблица191012[[#This Row],[Асфальт]]&gt;0,Таблица191012[[#This Row],[Бетон]]&gt;0)</f>
        <v>1</v>
      </c>
      <c r="O60" s="234">
        <v>1</v>
      </c>
      <c r="P60" s="234">
        <v>1</v>
      </c>
      <c r="Q60" s="234">
        <v>58</v>
      </c>
      <c r="S60" s="235"/>
      <c r="T60" s="235"/>
      <c r="U60" s="306"/>
      <c r="V60" s="306">
        <f>Таблица191012[[#This Row],[Грунт]]+Таблица191012[[#This Row],[Щебень]]+Таблица191012[[#This Row],[Асфальт]]+Таблица191012[[#This Row],[Бетон]]</f>
        <v>4</v>
      </c>
      <c r="W60" s="306"/>
      <c r="X60" s="306"/>
      <c r="Y60" s="306"/>
      <c r="Z60" s="306"/>
    </row>
    <row r="61" spans="1:26" s="234" customFormat="1" x14ac:dyDescent="0.35">
      <c r="A61" s="146">
        <v>59</v>
      </c>
      <c r="B61" s="146" t="s">
        <v>115</v>
      </c>
      <c r="C61" s="146" t="s">
        <v>116</v>
      </c>
      <c r="D61" s="146" t="s">
        <v>539</v>
      </c>
      <c r="E61" s="254">
        <f>Таблица191012[[#This Row],[Грунт]]+Таблица191012[[#This Row],[Щебень]]+Таблица191012[[#This Row],[Асфальт]]+Таблица191012[[#This Row],[Бетон]]</f>
        <v>2</v>
      </c>
      <c r="F61" s="311">
        <v>2</v>
      </c>
      <c r="G61" s="140"/>
      <c r="H61" s="249"/>
      <c r="I61" s="139"/>
      <c r="J61" s="232"/>
      <c r="N61" s="234" t="b">
        <f>OR(Таблица191012[[#This Row],[Щебень]]&gt;0,Таблица191012[[#This Row],[Асфальт]]&gt;0,Таблица191012[[#This Row],[Бетон]]&gt;0)</f>
        <v>0</v>
      </c>
      <c r="Q61" s="234">
        <v>59</v>
      </c>
      <c r="S61" s="235"/>
      <c r="T61" s="235"/>
      <c r="U61" s="306"/>
      <c r="V61" s="306">
        <f>Таблица191012[[#This Row],[Грунт]]+Таблица191012[[#This Row],[Щебень]]+Таблица191012[[#This Row],[Асфальт]]+Таблица191012[[#This Row],[Бетон]]</f>
        <v>2</v>
      </c>
      <c r="W61" s="306"/>
      <c r="X61" s="306"/>
      <c r="Y61" s="306"/>
      <c r="Z61" s="306"/>
    </row>
    <row r="62" spans="1:26" s="234" customFormat="1" ht="46.5" x14ac:dyDescent="0.35">
      <c r="A62" s="146">
        <v>60</v>
      </c>
      <c r="B62" s="146" t="s">
        <v>117</v>
      </c>
      <c r="C62" s="146" t="s">
        <v>118</v>
      </c>
      <c r="D62" s="146" t="s">
        <v>548</v>
      </c>
      <c r="E62" s="254">
        <f>Таблица191012[[#This Row],[Грунт]]+Таблица191012[[#This Row],[Щебень]]+Таблица191012[[#This Row],[Асфальт]]+Таблица191012[[#This Row],[Бетон]]</f>
        <v>3</v>
      </c>
      <c r="F62" s="311"/>
      <c r="G62" s="140"/>
      <c r="H62" s="249">
        <v>3</v>
      </c>
      <c r="I62" s="139"/>
      <c r="J62" s="232"/>
      <c r="N62" s="234" t="b">
        <f>OR(Таблица191012[[#This Row],[Щебень]]&gt;0,Таблица191012[[#This Row],[Асфальт]]&gt;0,Таблица191012[[#This Row],[Бетон]]&gt;0)</f>
        <v>1</v>
      </c>
      <c r="O62" s="234">
        <v>1</v>
      </c>
      <c r="P62" s="234">
        <v>1</v>
      </c>
      <c r="Q62" s="234">
        <v>60</v>
      </c>
      <c r="S62" s="235"/>
      <c r="T62" s="235"/>
      <c r="U62" s="306"/>
      <c r="V62" s="306">
        <f>Таблица191012[[#This Row],[Грунт]]+Таблица191012[[#This Row],[Щебень]]+Таблица191012[[#This Row],[Асфальт]]+Таблица191012[[#This Row],[Бетон]]</f>
        <v>3</v>
      </c>
      <c r="W62" s="306"/>
      <c r="X62" s="306"/>
      <c r="Y62" s="306"/>
      <c r="Z62" s="306"/>
    </row>
    <row r="63" spans="1:26" s="234" customFormat="1" ht="46.5" x14ac:dyDescent="0.35">
      <c r="A63" s="146">
        <v>61</v>
      </c>
      <c r="B63" s="146" t="s">
        <v>119</v>
      </c>
      <c r="C63" s="146" t="s">
        <v>120</v>
      </c>
      <c r="D63" s="146" t="s">
        <v>548</v>
      </c>
      <c r="E63" s="254">
        <f>Таблица191012[[#This Row],[Грунт]]+Таблица191012[[#This Row],[Щебень]]+Таблица191012[[#This Row],[Асфальт]]+Таблица191012[[#This Row],[Бетон]]</f>
        <v>2.5</v>
      </c>
      <c r="F63" s="311">
        <v>2.5</v>
      </c>
      <c r="G63" s="140"/>
      <c r="H63" s="249"/>
      <c r="I63" s="139"/>
      <c r="J63" s="232"/>
      <c r="N63" s="234" t="b">
        <f>OR(Таблица191012[[#This Row],[Щебень]]&gt;0,Таблица191012[[#This Row],[Асфальт]]&gt;0,Таблица191012[[#This Row],[Бетон]]&gt;0)</f>
        <v>0</v>
      </c>
      <c r="Q63" s="234">
        <v>61</v>
      </c>
      <c r="S63" s="235"/>
      <c r="T63" s="235"/>
      <c r="U63" s="306"/>
      <c r="V63" s="306">
        <f>Таблица191012[[#This Row],[Грунт]]+Таблица191012[[#This Row],[Щебень]]+Таблица191012[[#This Row],[Асфальт]]+Таблица191012[[#This Row],[Бетон]]</f>
        <v>2.5</v>
      </c>
      <c r="W63" s="306"/>
      <c r="X63" s="306"/>
      <c r="Y63" s="306"/>
      <c r="Z63" s="306"/>
    </row>
    <row r="64" spans="1:26" s="234" customFormat="1" ht="46.5" x14ac:dyDescent="0.35">
      <c r="A64" s="146">
        <v>62</v>
      </c>
      <c r="B64" s="146" t="s">
        <v>121</v>
      </c>
      <c r="C64" s="146" t="s">
        <v>122</v>
      </c>
      <c r="D64" s="146" t="s">
        <v>548</v>
      </c>
      <c r="E64" s="254">
        <f>Таблица191012[[#This Row],[Грунт]]+Таблица191012[[#This Row],[Щебень]]+Таблица191012[[#This Row],[Асфальт]]+Таблица191012[[#This Row],[Бетон]]</f>
        <v>1.5</v>
      </c>
      <c r="F64" s="311">
        <v>1.5</v>
      </c>
      <c r="G64" s="140"/>
      <c r="H64" s="249"/>
      <c r="I64" s="139"/>
      <c r="J64" s="232"/>
      <c r="N64" s="234" t="b">
        <f>OR(Таблица191012[[#This Row],[Щебень]]&gt;0,Таблица191012[[#This Row],[Асфальт]]&gt;0,Таблица191012[[#This Row],[Бетон]]&gt;0)</f>
        <v>0</v>
      </c>
      <c r="Q64" s="234">
        <v>62</v>
      </c>
      <c r="S64" s="235"/>
      <c r="T64" s="235"/>
      <c r="U64" s="306"/>
      <c r="V64" s="306">
        <f>Таблица191012[[#This Row],[Грунт]]+Таблица191012[[#This Row],[Щебень]]+Таблица191012[[#This Row],[Асфальт]]+Таблица191012[[#This Row],[Бетон]]</f>
        <v>1.5</v>
      </c>
      <c r="W64" s="306"/>
      <c r="X64" s="306"/>
      <c r="Y64" s="306"/>
      <c r="Z64" s="306"/>
    </row>
    <row r="65" spans="1:26" s="234" customFormat="1" x14ac:dyDescent="0.35">
      <c r="A65" s="146">
        <v>63</v>
      </c>
      <c r="B65" s="146" t="s">
        <v>123</v>
      </c>
      <c r="C65" s="146" t="s">
        <v>124</v>
      </c>
      <c r="D65" s="146" t="s">
        <v>545</v>
      </c>
      <c r="E65" s="254">
        <v>2.1</v>
      </c>
      <c r="F65" s="311"/>
      <c r="G65" s="140"/>
      <c r="H65" s="249">
        <v>2.1</v>
      </c>
      <c r="I65" s="139"/>
      <c r="J65" s="232"/>
      <c r="N65" s="234" t="b">
        <f>OR(Таблица191012[[#This Row],[Щебень]]&gt;0,Таблица191012[[#This Row],[Асфальт]]&gt;0,Таблица191012[[#This Row],[Бетон]]&gt;0)</f>
        <v>1</v>
      </c>
      <c r="O65" s="234">
        <v>1</v>
      </c>
      <c r="P65" s="234">
        <v>1</v>
      </c>
      <c r="Q65" s="234">
        <v>63</v>
      </c>
      <c r="S65" s="235"/>
      <c r="T65" s="235"/>
      <c r="U65" s="306"/>
      <c r="V65" s="306">
        <f>Таблица191012[[#This Row],[Грунт]]+Таблица191012[[#This Row],[Щебень]]+Таблица191012[[#This Row],[Асфальт]]+Таблица191012[[#This Row],[Бетон]]</f>
        <v>2.1</v>
      </c>
      <c r="W65" s="306"/>
      <c r="X65" s="306"/>
      <c r="Y65" s="306"/>
      <c r="Z65" s="306"/>
    </row>
    <row r="66" spans="1:26" s="234" customFormat="1" x14ac:dyDescent="0.35">
      <c r="A66" s="146">
        <v>64</v>
      </c>
      <c r="B66" s="146" t="s">
        <v>125</v>
      </c>
      <c r="C66" s="146" t="s">
        <v>126</v>
      </c>
      <c r="D66" s="146" t="s">
        <v>545</v>
      </c>
      <c r="E66" s="254">
        <f>Таблица191012[[#This Row],[Грунт]]+Таблица191012[[#This Row],[Щебень]]+Таблица191012[[#This Row],[Асфальт]]+Таблица191012[[#This Row],[Бетон]]</f>
        <v>3.5</v>
      </c>
      <c r="F66" s="311">
        <v>3.5</v>
      </c>
      <c r="G66" s="140"/>
      <c r="H66" s="249"/>
      <c r="I66" s="139"/>
      <c r="J66" s="232"/>
      <c r="N66" s="234" t="b">
        <f>OR(Таблица191012[[#This Row],[Щебень]]&gt;0,Таблица191012[[#This Row],[Асфальт]]&gt;0,Таблица191012[[#This Row],[Бетон]]&gt;0)</f>
        <v>0</v>
      </c>
      <c r="Q66" s="234">
        <v>64</v>
      </c>
      <c r="S66" s="235"/>
      <c r="T66" s="235"/>
      <c r="U66" s="306"/>
      <c r="V66" s="306">
        <f>Таблица191012[[#This Row],[Грунт]]+Таблица191012[[#This Row],[Щебень]]+Таблица191012[[#This Row],[Асфальт]]+Таблица191012[[#This Row],[Бетон]]</f>
        <v>3.5</v>
      </c>
      <c r="W66" s="306"/>
      <c r="X66" s="306"/>
      <c r="Y66" s="306"/>
      <c r="Z66" s="306"/>
    </row>
    <row r="67" spans="1:26" s="234" customFormat="1" x14ac:dyDescent="0.35">
      <c r="A67" s="146">
        <v>65</v>
      </c>
      <c r="B67" s="146" t="s">
        <v>127</v>
      </c>
      <c r="C67" s="146" t="s">
        <v>128</v>
      </c>
      <c r="D67" s="146" t="s">
        <v>545</v>
      </c>
      <c r="E67" s="254">
        <f>Таблица191012[[#This Row],[Грунт]]+Таблица191012[[#This Row],[Щебень]]+Таблица191012[[#This Row],[Асфальт]]+Таблица191012[[#This Row],[Бетон]]</f>
        <v>3</v>
      </c>
      <c r="F67" s="311">
        <v>3</v>
      </c>
      <c r="G67" s="140"/>
      <c r="H67" s="249"/>
      <c r="I67" s="139"/>
      <c r="J67" s="232"/>
      <c r="N67" s="234" t="b">
        <f>OR(Таблица191012[[#This Row],[Щебень]]&gt;0,Таблица191012[[#This Row],[Асфальт]]&gt;0,Таблица191012[[#This Row],[Бетон]]&gt;0)</f>
        <v>0</v>
      </c>
      <c r="Q67" s="234">
        <v>65</v>
      </c>
      <c r="S67" s="235"/>
      <c r="T67" s="235"/>
      <c r="U67" s="306"/>
      <c r="V67" s="306">
        <f>Таблица191012[[#This Row],[Грунт]]+Таблица191012[[#This Row],[Щебень]]+Таблица191012[[#This Row],[Асфальт]]+Таблица191012[[#This Row],[Бетон]]</f>
        <v>3</v>
      </c>
      <c r="W67" s="306"/>
      <c r="X67" s="306"/>
      <c r="Y67" s="306"/>
      <c r="Z67" s="306"/>
    </row>
    <row r="68" spans="1:26" s="234" customFormat="1" x14ac:dyDescent="0.35">
      <c r="A68" s="146">
        <v>66</v>
      </c>
      <c r="B68" s="146" t="s">
        <v>129</v>
      </c>
      <c r="C68" s="146" t="s">
        <v>130</v>
      </c>
      <c r="D68" s="146" t="s">
        <v>545</v>
      </c>
      <c r="E68" s="254">
        <f>Таблица191012[[#This Row],[Грунт]]+Таблица191012[[#This Row],[Щебень]]+Таблица191012[[#This Row],[Асфальт]]+Таблица191012[[#This Row],[Бетон]]</f>
        <v>2</v>
      </c>
      <c r="F68" s="311"/>
      <c r="G68" s="140">
        <v>2</v>
      </c>
      <c r="H68" s="249"/>
      <c r="I68" s="139"/>
      <c r="J68" s="232"/>
      <c r="N68" s="234" t="b">
        <f>OR(Таблица191012[[#This Row],[Щебень]]&gt;0,Таблица191012[[#This Row],[Асфальт]]&gt;0,Таблица191012[[#This Row],[Бетон]]&gt;0)</f>
        <v>1</v>
      </c>
      <c r="Q68" s="234">
        <v>66</v>
      </c>
      <c r="S68" s="235"/>
      <c r="T68" s="235"/>
      <c r="U68" s="306"/>
      <c r="V68" s="306">
        <f>Таблица191012[[#This Row],[Грунт]]+Таблица191012[[#This Row],[Щебень]]+Таблица191012[[#This Row],[Асфальт]]+Таблица191012[[#This Row],[Бетон]]</f>
        <v>2</v>
      </c>
      <c r="W68" s="306"/>
      <c r="X68" s="306"/>
      <c r="Y68" s="306"/>
      <c r="Z68" s="306"/>
    </row>
    <row r="69" spans="1:26" s="234" customFormat="1" x14ac:dyDescent="0.35">
      <c r="A69" s="146">
        <v>67</v>
      </c>
      <c r="B69" s="146" t="s">
        <v>131</v>
      </c>
      <c r="C69" s="146" t="s">
        <v>132</v>
      </c>
      <c r="D69" s="146" t="s">
        <v>545</v>
      </c>
      <c r="E69" s="254">
        <f>Таблица191012[[#This Row],[Грунт]]+Таблица191012[[#This Row],[Щебень]]+Таблица191012[[#This Row],[Асфальт]]+Таблица191012[[#This Row],[Бетон]]</f>
        <v>0.5</v>
      </c>
      <c r="F69" s="311"/>
      <c r="G69" s="140">
        <v>0.5</v>
      </c>
      <c r="H69" s="249"/>
      <c r="I69" s="139"/>
      <c r="J69" s="232"/>
      <c r="N69" s="234" t="b">
        <f>OR(Таблица191012[[#This Row],[Щебень]]&gt;0,Таблица191012[[#This Row],[Асфальт]]&gt;0,Таблица191012[[#This Row],[Бетон]]&gt;0)</f>
        <v>1</v>
      </c>
      <c r="Q69" s="234">
        <v>67</v>
      </c>
      <c r="S69" s="235"/>
      <c r="T69" s="235"/>
      <c r="U69" s="306"/>
      <c r="V69" s="306">
        <f>Таблица191012[[#This Row],[Грунт]]+Таблица191012[[#This Row],[Щебень]]+Таблица191012[[#This Row],[Асфальт]]+Таблица191012[[#This Row],[Бетон]]</f>
        <v>0.5</v>
      </c>
      <c r="W69" s="306"/>
      <c r="X69" s="306"/>
      <c r="Y69" s="306"/>
      <c r="Z69" s="306"/>
    </row>
    <row r="70" spans="1:26" s="234" customFormat="1" x14ac:dyDescent="0.35">
      <c r="A70" s="146">
        <v>68</v>
      </c>
      <c r="B70" s="146" t="s">
        <v>133</v>
      </c>
      <c r="C70" s="146" t="s">
        <v>134</v>
      </c>
      <c r="D70" s="146" t="s">
        <v>545</v>
      </c>
      <c r="E70" s="254">
        <f>Таблица191012[[#This Row],[Грунт]]+Таблица191012[[#This Row],[Щебень]]+Таблица191012[[#This Row],[Асфальт]]+Таблица191012[[#This Row],[Бетон]]</f>
        <v>4</v>
      </c>
      <c r="F70" s="311">
        <v>4</v>
      </c>
      <c r="G70" s="140"/>
      <c r="H70" s="249"/>
      <c r="I70" s="139"/>
      <c r="J70" s="232"/>
      <c r="N70" s="234" t="b">
        <f>OR(Таблица191012[[#This Row],[Щебень]]&gt;0,Таблица191012[[#This Row],[Асфальт]]&gt;0,Таблица191012[[#This Row],[Бетон]]&gt;0)</f>
        <v>0</v>
      </c>
      <c r="Q70" s="234">
        <v>68</v>
      </c>
      <c r="S70" s="235"/>
      <c r="T70" s="235"/>
      <c r="U70" s="306"/>
      <c r="V70" s="306">
        <f>Таблица191012[[#This Row],[Грунт]]+Таблица191012[[#This Row],[Щебень]]+Таблица191012[[#This Row],[Асфальт]]+Таблица191012[[#This Row],[Бетон]]</f>
        <v>4</v>
      </c>
      <c r="W70" s="306"/>
      <c r="X70" s="306"/>
      <c r="Y70" s="306"/>
      <c r="Z70" s="306"/>
    </row>
    <row r="71" spans="1:26" s="234" customFormat="1" x14ac:dyDescent="0.35">
      <c r="A71" s="146">
        <v>69</v>
      </c>
      <c r="B71" s="146" t="s">
        <v>135</v>
      </c>
      <c r="C71" s="146" t="s">
        <v>136</v>
      </c>
      <c r="D71" s="146" t="s">
        <v>545</v>
      </c>
      <c r="E71" s="254">
        <f>Таблица191012[[#This Row],[Грунт]]+Таблица191012[[#This Row],[Щебень]]+Таблица191012[[#This Row],[Асфальт]]+Таблица191012[[#This Row],[Бетон]]</f>
        <v>0.2</v>
      </c>
      <c r="F71" s="311">
        <v>0.2</v>
      </c>
      <c r="G71" s="140"/>
      <c r="H71" s="249"/>
      <c r="I71" s="139"/>
      <c r="J71" s="232"/>
      <c r="N71" s="234" t="b">
        <f>OR(Таблица191012[[#This Row],[Щебень]]&gt;0,Таблица191012[[#This Row],[Асфальт]]&gt;0,Таблица191012[[#This Row],[Бетон]]&gt;0)</f>
        <v>0</v>
      </c>
      <c r="Q71" s="234">
        <v>69</v>
      </c>
      <c r="S71" s="235"/>
      <c r="T71" s="235"/>
      <c r="U71" s="306"/>
      <c r="V71" s="306">
        <f>Таблица191012[[#This Row],[Грунт]]+Таблица191012[[#This Row],[Щебень]]+Таблица191012[[#This Row],[Асфальт]]+Таблица191012[[#This Row],[Бетон]]</f>
        <v>0.2</v>
      </c>
      <c r="W71" s="306"/>
      <c r="X71" s="306"/>
      <c r="Y71" s="306"/>
      <c r="Z71" s="306"/>
    </row>
    <row r="72" spans="1:26" s="234" customFormat="1" x14ac:dyDescent="0.35">
      <c r="A72" s="146">
        <v>70</v>
      </c>
      <c r="B72" s="146" t="s">
        <v>137</v>
      </c>
      <c r="C72" s="146" t="s">
        <v>138</v>
      </c>
      <c r="D72" s="146" t="s">
        <v>545</v>
      </c>
      <c r="E72" s="254">
        <f>Таблица191012[[#This Row],[Грунт]]+Таблица191012[[#This Row],[Щебень]]+Таблица191012[[#This Row],[Асфальт]]+Таблица191012[[#This Row],[Бетон]]</f>
        <v>1.5</v>
      </c>
      <c r="F72" s="311">
        <v>0</v>
      </c>
      <c r="G72" s="140">
        <v>1.5</v>
      </c>
      <c r="H72" s="249"/>
      <c r="I72" s="139"/>
      <c r="J72" s="232"/>
      <c r="N72" s="234" t="b">
        <f>OR(Таблица191012[[#This Row],[Щебень]]&gt;0,Таблица191012[[#This Row],[Асфальт]]&gt;0,Таблица191012[[#This Row],[Бетон]]&gt;0)</f>
        <v>1</v>
      </c>
      <c r="Q72" s="234">
        <v>70</v>
      </c>
      <c r="S72" s="235"/>
      <c r="T72" s="235"/>
      <c r="U72" s="306"/>
      <c r="V72" s="306">
        <f>Таблица191012[[#This Row],[Грунт]]+Таблица191012[[#This Row],[Щебень]]+Таблица191012[[#This Row],[Асфальт]]+Таблица191012[[#This Row],[Бетон]]</f>
        <v>1.5</v>
      </c>
      <c r="W72" s="306"/>
      <c r="X72" s="306"/>
      <c r="Y72" s="306"/>
      <c r="Z72" s="306"/>
    </row>
    <row r="73" spans="1:26" s="234" customFormat="1" x14ac:dyDescent="0.35">
      <c r="A73" s="146">
        <v>71</v>
      </c>
      <c r="B73" s="146" t="s">
        <v>139</v>
      </c>
      <c r="C73" s="146" t="s">
        <v>140</v>
      </c>
      <c r="D73" s="146" t="s">
        <v>545</v>
      </c>
      <c r="E73" s="254">
        <f>Таблица191012[[#This Row],[Грунт]]+Таблица191012[[#This Row],[Щебень]]+Таблица191012[[#This Row],[Асфальт]]+Таблица191012[[#This Row],[Бетон]]</f>
        <v>3</v>
      </c>
      <c r="F73" s="311">
        <v>3</v>
      </c>
      <c r="G73" s="140"/>
      <c r="H73" s="249"/>
      <c r="I73" s="139"/>
      <c r="J73" s="232"/>
      <c r="N73" s="234" t="b">
        <f>OR(Таблица191012[[#This Row],[Щебень]]&gt;0,Таблица191012[[#This Row],[Асфальт]]&gt;0,Таблица191012[[#This Row],[Бетон]]&gt;0)</f>
        <v>0</v>
      </c>
      <c r="Q73" s="234">
        <v>71</v>
      </c>
      <c r="S73" s="235"/>
      <c r="T73" s="235"/>
      <c r="U73" s="306"/>
      <c r="V73" s="306">
        <f>Таблица191012[[#This Row],[Грунт]]+Таблица191012[[#This Row],[Щебень]]+Таблица191012[[#This Row],[Асфальт]]+Таблица191012[[#This Row],[Бетон]]</f>
        <v>3</v>
      </c>
      <c r="W73" s="306"/>
      <c r="X73" s="306"/>
      <c r="Y73" s="306"/>
      <c r="Z73" s="306"/>
    </row>
    <row r="74" spans="1:26" s="234" customFormat="1" x14ac:dyDescent="0.35">
      <c r="A74" s="146">
        <v>72</v>
      </c>
      <c r="B74" s="146" t="s">
        <v>141</v>
      </c>
      <c r="C74" s="146" t="s">
        <v>142</v>
      </c>
      <c r="D74" s="146" t="s">
        <v>545</v>
      </c>
      <c r="E74" s="254">
        <f>Таблица191012[[#This Row],[Грунт]]+Таблица191012[[#This Row],[Щебень]]+Таблица191012[[#This Row],[Асфальт]]+Таблица191012[[#This Row],[Бетон]]</f>
        <v>2</v>
      </c>
      <c r="F74" s="311"/>
      <c r="G74" s="140"/>
      <c r="H74" s="249">
        <v>2</v>
      </c>
      <c r="I74" s="139"/>
      <c r="J74" s="232"/>
      <c r="K74" s="233" t="s">
        <v>557</v>
      </c>
      <c r="N74" s="234" t="b">
        <f>OR(Таблица191012[[#This Row],[Щебень]]&gt;0,Таблица191012[[#This Row],[Асфальт]]&gt;0,Таблица191012[[#This Row],[Бетон]]&gt;0)</f>
        <v>1</v>
      </c>
      <c r="Q74" s="234">
        <v>72</v>
      </c>
      <c r="S74" s="235"/>
      <c r="T74" s="235"/>
      <c r="U74" s="306"/>
      <c r="V74" s="306">
        <f>Таблица191012[[#This Row],[Грунт]]+Таблица191012[[#This Row],[Щебень]]+Таблица191012[[#This Row],[Асфальт]]+Таблица191012[[#This Row],[Бетон]]</f>
        <v>2</v>
      </c>
      <c r="W74" s="306"/>
      <c r="X74" s="306"/>
      <c r="Y74" s="306"/>
      <c r="Z74" s="306"/>
    </row>
    <row r="75" spans="1:26" s="234" customFormat="1" x14ac:dyDescent="0.35">
      <c r="A75" s="146">
        <v>73</v>
      </c>
      <c r="B75" s="146" t="s">
        <v>143</v>
      </c>
      <c r="C75" s="146" t="s">
        <v>144</v>
      </c>
      <c r="D75" s="146" t="s">
        <v>545</v>
      </c>
      <c r="E75" s="254">
        <f>Таблица191012[[#This Row],[Грунт]]+Таблица191012[[#This Row],[Щебень]]+Таблица191012[[#This Row],[Асфальт]]+Таблица191012[[#This Row],[Бетон]]</f>
        <v>1</v>
      </c>
      <c r="F75" s="311">
        <v>1</v>
      </c>
      <c r="G75" s="140"/>
      <c r="H75" s="249"/>
      <c r="I75" s="139"/>
      <c r="J75" s="232"/>
      <c r="N75" s="234" t="b">
        <f>OR(Таблица191012[[#This Row],[Щебень]]&gt;0,Таблица191012[[#This Row],[Асфальт]]&gt;0,Таблица191012[[#This Row],[Бетон]]&gt;0)</f>
        <v>0</v>
      </c>
      <c r="Q75" s="234">
        <v>73</v>
      </c>
      <c r="S75" s="235"/>
      <c r="T75" s="235"/>
      <c r="U75" s="306"/>
      <c r="V75" s="306">
        <f>Таблица191012[[#This Row],[Грунт]]+Таблица191012[[#This Row],[Щебень]]+Таблица191012[[#This Row],[Асфальт]]+Таблица191012[[#This Row],[Бетон]]</f>
        <v>1</v>
      </c>
      <c r="W75" s="306"/>
      <c r="X75" s="306"/>
      <c r="Y75" s="306"/>
      <c r="Z75" s="306"/>
    </row>
    <row r="76" spans="1:26" s="234" customFormat="1" x14ac:dyDescent="0.35">
      <c r="A76" s="146">
        <v>74</v>
      </c>
      <c r="B76" s="146" t="s">
        <v>145</v>
      </c>
      <c r="C76" s="146" t="s">
        <v>146</v>
      </c>
      <c r="D76" s="146" t="s">
        <v>543</v>
      </c>
      <c r="E76" s="254">
        <f>Таблица191012[[#This Row],[Грунт]]+Таблица191012[[#This Row],[Щебень]]+Таблица191012[[#This Row],[Асфальт]]+Таблица191012[[#This Row],[Бетон]]</f>
        <v>1.5</v>
      </c>
      <c r="F76" s="311">
        <v>1.5</v>
      </c>
      <c r="G76" s="140"/>
      <c r="H76" s="249"/>
      <c r="I76" s="139"/>
      <c r="J76" s="232"/>
      <c r="K76" s="233" t="s">
        <v>557</v>
      </c>
      <c r="N76" s="234" t="b">
        <f>OR(Таблица191012[[#This Row],[Щебень]]&gt;0,Таблица191012[[#This Row],[Асфальт]]&gt;0,Таблица191012[[#This Row],[Бетон]]&gt;0)</f>
        <v>0</v>
      </c>
      <c r="Q76" s="234">
        <v>74</v>
      </c>
      <c r="S76" s="235"/>
      <c r="T76" s="235"/>
      <c r="U76" s="306"/>
      <c r="V76" s="306">
        <f>Таблица191012[[#This Row],[Грунт]]+Таблица191012[[#This Row],[Щебень]]+Таблица191012[[#This Row],[Асфальт]]+Таблица191012[[#This Row],[Бетон]]</f>
        <v>1.5</v>
      </c>
      <c r="W76" s="306"/>
      <c r="X76" s="306"/>
      <c r="Y76" s="306"/>
      <c r="Z76" s="306"/>
    </row>
    <row r="77" spans="1:26" s="234" customFormat="1" x14ac:dyDescent="0.35">
      <c r="A77" s="146">
        <v>75</v>
      </c>
      <c r="B77" s="146" t="s">
        <v>147</v>
      </c>
      <c r="C77" s="146" t="s">
        <v>148</v>
      </c>
      <c r="D77" s="146" t="s">
        <v>543</v>
      </c>
      <c r="E77" s="254">
        <f>Таблица191012[[#This Row],[Грунт]]+Таблица191012[[#This Row],[Щебень]]+Таблица191012[[#This Row],[Асфальт]]+Таблица191012[[#This Row],[Бетон]]</f>
        <v>4</v>
      </c>
      <c r="F77" s="311">
        <v>4</v>
      </c>
      <c r="G77" s="140"/>
      <c r="H77" s="249"/>
      <c r="I77" s="139"/>
      <c r="J77" s="232"/>
      <c r="N77" s="234" t="b">
        <f>OR(Таблица191012[[#This Row],[Щебень]]&gt;0,Таблица191012[[#This Row],[Асфальт]]&gt;0,Таблица191012[[#This Row],[Бетон]]&gt;0)</f>
        <v>0</v>
      </c>
      <c r="Q77" s="234">
        <v>75</v>
      </c>
      <c r="S77" s="235"/>
      <c r="T77" s="235"/>
      <c r="U77" s="306"/>
      <c r="V77" s="306">
        <f>Таблица191012[[#This Row],[Грунт]]+Таблица191012[[#This Row],[Щебень]]+Таблица191012[[#This Row],[Асфальт]]+Таблица191012[[#This Row],[Бетон]]</f>
        <v>4</v>
      </c>
      <c r="W77" s="306"/>
      <c r="X77" s="306"/>
      <c r="Y77" s="306"/>
      <c r="Z77" s="306"/>
    </row>
    <row r="78" spans="1:26" s="234" customFormat="1" ht="45.75" x14ac:dyDescent="0.35">
      <c r="A78" s="146">
        <v>76</v>
      </c>
      <c r="B78" s="146" t="s">
        <v>149</v>
      </c>
      <c r="C78" s="146" t="s">
        <v>837</v>
      </c>
      <c r="D78" s="146" t="s">
        <v>543</v>
      </c>
      <c r="E78" s="254">
        <f>Таблица191012[[#This Row],[Грунт]]+Таблица191012[[#This Row],[Щебень]]+Таблица191012[[#This Row],[Асфальт]]+Таблица191012[[#This Row],[Бетон]]</f>
        <v>0.5</v>
      </c>
      <c r="F78" s="311">
        <v>0.5</v>
      </c>
      <c r="G78" s="140"/>
      <c r="H78" s="249"/>
      <c r="I78" s="139"/>
      <c r="J78" s="232"/>
      <c r="N78" s="234" t="b">
        <f>OR(Таблица191012[[#This Row],[Щебень]]&gt;0,Таблица191012[[#This Row],[Асфальт]]&gt;0,Таблица191012[[#This Row],[Бетон]]&gt;0)</f>
        <v>0</v>
      </c>
      <c r="Q78" s="234">
        <v>76</v>
      </c>
      <c r="S78" s="235"/>
      <c r="T78" s="235"/>
      <c r="U78" s="306"/>
      <c r="V78" s="306">
        <f>Таблица191012[[#This Row],[Грунт]]+Таблица191012[[#This Row],[Щебень]]+Таблица191012[[#This Row],[Асфальт]]+Таблица191012[[#This Row],[Бетон]]</f>
        <v>0.5</v>
      </c>
      <c r="W78" s="306"/>
      <c r="X78" s="306"/>
      <c r="Y78" s="306"/>
      <c r="Z78" s="306"/>
    </row>
    <row r="79" spans="1:26" s="234" customFormat="1" ht="45.75" x14ac:dyDescent="0.35">
      <c r="A79" s="146">
        <v>77</v>
      </c>
      <c r="B79" s="146" t="s">
        <v>151</v>
      </c>
      <c r="C79" s="146" t="s">
        <v>838</v>
      </c>
      <c r="D79" s="146" t="s">
        <v>543</v>
      </c>
      <c r="E79" s="254">
        <f>Таблица191012[[#This Row],[Грунт]]+Таблица191012[[#This Row],[Щебень]]+Таблица191012[[#This Row],[Асфальт]]+Таблица191012[[#This Row],[Бетон]]</f>
        <v>1</v>
      </c>
      <c r="F79" s="311"/>
      <c r="G79" s="140"/>
      <c r="H79" s="249">
        <v>1</v>
      </c>
      <c r="I79" s="139"/>
      <c r="J79" s="232"/>
      <c r="N79" s="234" t="b">
        <f>OR(Таблица191012[[#This Row],[Щебень]]&gt;0,Таблица191012[[#This Row],[Асфальт]]&gt;0,Таблица191012[[#This Row],[Бетон]]&gt;0)</f>
        <v>1</v>
      </c>
      <c r="O79" s="234">
        <v>1</v>
      </c>
      <c r="Q79" s="234">
        <v>77</v>
      </c>
      <c r="S79" s="235"/>
      <c r="T79" s="235"/>
      <c r="U79" s="306"/>
      <c r="V79" s="306">
        <f>Таблица191012[[#This Row],[Грунт]]+Таблица191012[[#This Row],[Щебень]]+Таблица191012[[#This Row],[Асфальт]]+Таблица191012[[#This Row],[Бетон]]</f>
        <v>1</v>
      </c>
      <c r="W79" s="306"/>
      <c r="X79" s="306"/>
      <c r="Y79" s="306"/>
      <c r="Z79" s="306"/>
    </row>
    <row r="80" spans="1:26" s="234" customFormat="1" ht="46.5" x14ac:dyDescent="0.35">
      <c r="A80" s="146">
        <v>78</v>
      </c>
      <c r="B80" s="146" t="s">
        <v>153</v>
      </c>
      <c r="C80" s="146" t="s">
        <v>154</v>
      </c>
      <c r="D80" s="146" t="s">
        <v>543</v>
      </c>
      <c r="E80" s="254">
        <f>Таблица191012[[#This Row],[Грунт]]+Таблица191012[[#This Row],[Щебень]]+Таблица191012[[#This Row],[Асфальт]]+Таблица191012[[#This Row],[Бетон]]</f>
        <v>7</v>
      </c>
      <c r="F80" s="311"/>
      <c r="G80" s="140"/>
      <c r="H80" s="249">
        <v>7</v>
      </c>
      <c r="I80" s="139"/>
      <c r="J80" s="232"/>
      <c r="K80" s="233" t="s">
        <v>557</v>
      </c>
      <c r="N80" s="234" t="b">
        <f>OR(Таблица191012[[#This Row],[Щебень]]&gt;0,Таблица191012[[#This Row],[Асфальт]]&gt;0,Таблица191012[[#This Row],[Бетон]]&gt;0)</f>
        <v>1</v>
      </c>
      <c r="Q80" s="234">
        <v>78</v>
      </c>
      <c r="S80" s="235"/>
      <c r="T80" s="235"/>
      <c r="U80" s="306"/>
      <c r="V80" s="306">
        <f>Таблица191012[[#This Row],[Грунт]]+Таблица191012[[#This Row],[Щебень]]+Таблица191012[[#This Row],[Асфальт]]+Таблица191012[[#This Row],[Бетон]]</f>
        <v>7</v>
      </c>
      <c r="W80" s="306"/>
      <c r="X80" s="306"/>
      <c r="Y80" s="306"/>
      <c r="Z80" s="306"/>
    </row>
    <row r="81" spans="1:26" s="234" customFormat="1" x14ac:dyDescent="0.35">
      <c r="A81" s="146">
        <v>79</v>
      </c>
      <c r="B81" s="146" t="s">
        <v>155</v>
      </c>
      <c r="C81" s="146" t="s">
        <v>156</v>
      </c>
      <c r="D81" s="146" t="s">
        <v>543</v>
      </c>
      <c r="E81" s="254">
        <f>Таблица191012[[#This Row],[Грунт]]+Таблица191012[[#This Row],[Щебень]]+Таблица191012[[#This Row],[Асфальт]]+Таблица191012[[#This Row],[Бетон]]</f>
        <v>2</v>
      </c>
      <c r="F81" s="311">
        <v>2</v>
      </c>
      <c r="G81" s="140"/>
      <c r="H81" s="249"/>
      <c r="I81" s="139"/>
      <c r="J81" s="232"/>
      <c r="N81" s="234" t="b">
        <f>OR(Таблица191012[[#This Row],[Щебень]]&gt;0,Таблица191012[[#This Row],[Асфальт]]&gt;0,Таблица191012[[#This Row],[Бетон]]&gt;0)</f>
        <v>0</v>
      </c>
      <c r="Q81" s="234">
        <v>79</v>
      </c>
      <c r="S81" s="235"/>
      <c r="T81" s="235"/>
      <c r="U81" s="306"/>
      <c r="V81" s="306">
        <f>Таблица191012[[#This Row],[Грунт]]+Таблица191012[[#This Row],[Щебень]]+Таблица191012[[#This Row],[Асфальт]]+Таблица191012[[#This Row],[Бетон]]</f>
        <v>2</v>
      </c>
      <c r="W81" s="306"/>
      <c r="X81" s="306"/>
      <c r="Y81" s="306"/>
      <c r="Z81" s="306"/>
    </row>
    <row r="82" spans="1:26" s="234" customFormat="1" x14ac:dyDescent="0.35">
      <c r="A82" s="146">
        <v>80</v>
      </c>
      <c r="B82" s="146" t="s">
        <v>157</v>
      </c>
      <c r="C82" s="146" t="s">
        <v>158</v>
      </c>
      <c r="D82" s="146" t="s">
        <v>543</v>
      </c>
      <c r="E82" s="254">
        <f>Таблица191012[[#This Row],[Грунт]]+Таблица191012[[#This Row],[Щебень]]+Таблица191012[[#This Row],[Асфальт]]+Таблица191012[[#This Row],[Бетон]]</f>
        <v>1.5</v>
      </c>
      <c r="F82" s="311">
        <v>1.5</v>
      </c>
      <c r="G82" s="140"/>
      <c r="H82" s="249"/>
      <c r="I82" s="139"/>
      <c r="J82" s="232"/>
      <c r="N82" s="234" t="b">
        <f>OR(Таблица191012[[#This Row],[Щебень]]&gt;0,Таблица191012[[#This Row],[Асфальт]]&gt;0,Таблица191012[[#This Row],[Бетон]]&gt;0)</f>
        <v>0</v>
      </c>
      <c r="Q82" s="234">
        <v>80</v>
      </c>
      <c r="S82" s="235"/>
      <c r="T82" s="235"/>
      <c r="U82" s="306"/>
      <c r="V82" s="306">
        <f>Таблица191012[[#This Row],[Грунт]]+Таблица191012[[#This Row],[Щебень]]+Таблица191012[[#This Row],[Асфальт]]+Таблица191012[[#This Row],[Бетон]]</f>
        <v>1.5</v>
      </c>
      <c r="W82" s="306"/>
      <c r="X82" s="306"/>
      <c r="Y82" s="306"/>
      <c r="Z82" s="306"/>
    </row>
    <row r="83" spans="1:26" s="234" customFormat="1" x14ac:dyDescent="0.35">
      <c r="A83" s="146">
        <v>81</v>
      </c>
      <c r="B83" s="146" t="s">
        <v>159</v>
      </c>
      <c r="C83" s="146" t="s">
        <v>160</v>
      </c>
      <c r="D83" s="146" t="s">
        <v>543</v>
      </c>
      <c r="E83" s="254">
        <f>Таблица191012[[#This Row],[Грунт]]+Таблица191012[[#This Row],[Щебень]]+Таблица191012[[#This Row],[Асфальт]]+Таблица191012[[#This Row],[Бетон]]</f>
        <v>3</v>
      </c>
      <c r="F83" s="311">
        <v>3</v>
      </c>
      <c r="G83" s="140"/>
      <c r="H83" s="249"/>
      <c r="I83" s="139"/>
      <c r="J83" s="232"/>
      <c r="N83" s="234" t="b">
        <f>OR(Таблица191012[[#This Row],[Щебень]]&gt;0,Таблица191012[[#This Row],[Асфальт]]&gt;0,Таблица191012[[#This Row],[Бетон]]&gt;0)</f>
        <v>0</v>
      </c>
      <c r="Q83" s="234">
        <v>81</v>
      </c>
      <c r="S83" s="235"/>
      <c r="T83" s="235"/>
      <c r="U83" s="306"/>
      <c r="V83" s="306">
        <f>Таблица191012[[#This Row],[Грунт]]+Таблица191012[[#This Row],[Щебень]]+Таблица191012[[#This Row],[Асфальт]]+Таблица191012[[#This Row],[Бетон]]</f>
        <v>3</v>
      </c>
      <c r="W83" s="306"/>
      <c r="X83" s="306"/>
      <c r="Y83" s="306"/>
      <c r="Z83" s="306"/>
    </row>
    <row r="84" spans="1:26" s="234" customFormat="1" x14ac:dyDescent="0.35">
      <c r="A84" s="146">
        <v>82</v>
      </c>
      <c r="B84" s="146" t="s">
        <v>161</v>
      </c>
      <c r="C84" s="146" t="s">
        <v>162</v>
      </c>
      <c r="D84" s="146" t="s">
        <v>543</v>
      </c>
      <c r="E84" s="254">
        <f>Таблица191012[[#This Row],[Грунт]]+Таблица191012[[#This Row],[Щебень]]+Таблица191012[[#This Row],[Асфальт]]+Таблица191012[[#This Row],[Бетон]]</f>
        <v>2</v>
      </c>
      <c r="F84" s="311">
        <v>2</v>
      </c>
      <c r="G84" s="140"/>
      <c r="H84" s="249"/>
      <c r="I84" s="139"/>
      <c r="J84" s="232"/>
      <c r="N84" s="234" t="b">
        <f>OR(Таблица191012[[#This Row],[Щебень]]&gt;0,Таблица191012[[#This Row],[Асфальт]]&gt;0,Таблица191012[[#This Row],[Бетон]]&gt;0)</f>
        <v>0</v>
      </c>
      <c r="Q84" s="234">
        <v>82</v>
      </c>
      <c r="S84" s="235"/>
      <c r="T84" s="235"/>
      <c r="U84" s="306"/>
      <c r="V84" s="306">
        <f>Таблица191012[[#This Row],[Грунт]]+Таблица191012[[#This Row],[Щебень]]+Таблица191012[[#This Row],[Асфальт]]+Таблица191012[[#This Row],[Бетон]]</f>
        <v>2</v>
      </c>
      <c r="W84" s="306"/>
      <c r="X84" s="306"/>
      <c r="Y84" s="306"/>
      <c r="Z84" s="306"/>
    </row>
    <row r="85" spans="1:26" s="234" customFormat="1" x14ac:dyDescent="0.35">
      <c r="A85" s="146">
        <v>83</v>
      </c>
      <c r="B85" s="146" t="s">
        <v>163</v>
      </c>
      <c r="C85" s="146" t="s">
        <v>836</v>
      </c>
      <c r="D85" s="146" t="s">
        <v>571</v>
      </c>
      <c r="E85" s="254">
        <f>Таблица191012[[#This Row],[Грунт]]+Таблица191012[[#This Row],[Щебень]]+Таблица191012[[#This Row],[Асфальт]]+Таблица191012[[#This Row],[Бетон]]</f>
        <v>5</v>
      </c>
      <c r="F85" s="311"/>
      <c r="G85" s="140">
        <v>5</v>
      </c>
      <c r="H85" s="249"/>
      <c r="I85" s="139"/>
      <c r="J85" s="232"/>
      <c r="K85" s="233" t="s">
        <v>557</v>
      </c>
      <c r="N85" s="234" t="b">
        <f>OR(Таблица191012[[#This Row],[Щебень]]&gt;0,Таблица191012[[#This Row],[Асфальт]]&gt;0,Таблица191012[[#This Row],[Бетон]]&gt;0)</f>
        <v>1</v>
      </c>
      <c r="Q85" s="234">
        <v>83</v>
      </c>
      <c r="S85" s="235"/>
      <c r="T85" s="235"/>
      <c r="U85" s="306"/>
      <c r="V85" s="306">
        <f>Таблица191012[[#This Row],[Грунт]]+Таблица191012[[#This Row],[Щебень]]+Таблица191012[[#This Row],[Асфальт]]+Таблица191012[[#This Row],[Бетон]]</f>
        <v>5</v>
      </c>
      <c r="W85" s="306"/>
      <c r="X85" s="306"/>
      <c r="Y85" s="306"/>
      <c r="Z85" s="306"/>
    </row>
    <row r="86" spans="1:26" s="234" customFormat="1" x14ac:dyDescent="0.35">
      <c r="A86" s="146">
        <v>84</v>
      </c>
      <c r="B86" s="146" t="s">
        <v>165</v>
      </c>
      <c r="C86" s="146" t="s">
        <v>166</v>
      </c>
      <c r="D86" s="146" t="s">
        <v>571</v>
      </c>
      <c r="E86" s="254">
        <f>Таблица191012[[#This Row],[Грунт]]+Таблица191012[[#This Row],[Щебень]]+Таблица191012[[#This Row],[Асфальт]]+Таблица191012[[#This Row],[Бетон]]</f>
        <v>2</v>
      </c>
      <c r="F86" s="311"/>
      <c r="G86" s="140">
        <v>2</v>
      </c>
      <c r="H86" s="249"/>
      <c r="I86" s="139"/>
      <c r="J86" s="232"/>
      <c r="K86" s="233" t="s">
        <v>557</v>
      </c>
      <c r="N86" s="234" t="b">
        <f>OR(Таблица191012[[#This Row],[Щебень]]&gt;0,Таблица191012[[#This Row],[Асфальт]]&gt;0,Таблица191012[[#This Row],[Бетон]]&gt;0)</f>
        <v>1</v>
      </c>
      <c r="Q86" s="234">
        <v>84</v>
      </c>
      <c r="S86" s="235"/>
      <c r="T86" s="235"/>
      <c r="U86" s="306"/>
      <c r="V86" s="306">
        <f>Таблица191012[[#This Row],[Грунт]]+Таблица191012[[#This Row],[Щебень]]+Таблица191012[[#This Row],[Асфальт]]+Таблица191012[[#This Row],[Бетон]]</f>
        <v>2</v>
      </c>
      <c r="W86" s="306"/>
      <c r="X86" s="306"/>
      <c r="Y86" s="306"/>
      <c r="Z86" s="306"/>
    </row>
    <row r="87" spans="1:26" s="234" customFormat="1" x14ac:dyDescent="0.35">
      <c r="A87" s="146">
        <v>85</v>
      </c>
      <c r="B87" s="146" t="s">
        <v>167</v>
      </c>
      <c r="C87" s="146" t="s">
        <v>168</v>
      </c>
      <c r="D87" s="146" t="s">
        <v>571</v>
      </c>
      <c r="E87" s="254">
        <f>Таблица191012[[#This Row],[Грунт]]+Таблица191012[[#This Row],[Щебень]]+Таблица191012[[#This Row],[Асфальт]]+Таблица191012[[#This Row],[Бетон]]</f>
        <v>0.5</v>
      </c>
      <c r="F87" s="311">
        <v>0.5</v>
      </c>
      <c r="G87" s="140"/>
      <c r="H87" s="249"/>
      <c r="I87" s="139"/>
      <c r="J87" s="232"/>
      <c r="N87" s="234" t="b">
        <f>OR(Таблица191012[[#This Row],[Щебень]]&gt;0,Таблица191012[[#This Row],[Асфальт]]&gt;0,Таблица191012[[#This Row],[Бетон]]&gt;0)</f>
        <v>0</v>
      </c>
      <c r="Q87" s="234">
        <v>85</v>
      </c>
      <c r="S87" s="235"/>
      <c r="T87" s="235"/>
      <c r="U87" s="306"/>
      <c r="V87" s="306">
        <f>Таблица191012[[#This Row],[Грунт]]+Таблица191012[[#This Row],[Щебень]]+Таблица191012[[#This Row],[Асфальт]]+Таблица191012[[#This Row],[Бетон]]</f>
        <v>0.5</v>
      </c>
      <c r="W87" s="306"/>
      <c r="X87" s="306"/>
      <c r="Y87" s="306"/>
      <c r="Z87" s="306"/>
    </row>
    <row r="88" spans="1:26" s="234" customFormat="1" x14ac:dyDescent="0.35">
      <c r="A88" s="146">
        <v>86</v>
      </c>
      <c r="B88" s="146" t="s">
        <v>169</v>
      </c>
      <c r="C88" s="146" t="s">
        <v>170</v>
      </c>
      <c r="D88" s="146" t="s">
        <v>571</v>
      </c>
      <c r="E88" s="254">
        <f>Таблица191012[[#This Row],[Грунт]]+Таблица191012[[#This Row],[Щебень]]+Таблица191012[[#This Row],[Асфальт]]+Таблица191012[[#This Row],[Бетон]]</f>
        <v>1</v>
      </c>
      <c r="F88" s="311">
        <v>1</v>
      </c>
      <c r="G88" s="140"/>
      <c r="H88" s="249"/>
      <c r="I88" s="139"/>
      <c r="J88" s="232"/>
      <c r="N88" s="234" t="b">
        <f>OR(Таблица191012[[#This Row],[Щебень]]&gt;0,Таблица191012[[#This Row],[Асфальт]]&gt;0,Таблица191012[[#This Row],[Бетон]]&gt;0)</f>
        <v>0</v>
      </c>
      <c r="O88" s="234" t="s">
        <v>569</v>
      </c>
      <c r="Q88" s="234">
        <v>86</v>
      </c>
      <c r="S88" s="235"/>
      <c r="T88" s="235"/>
      <c r="U88" s="306"/>
      <c r="V88" s="306">
        <f>Таблица191012[[#This Row],[Грунт]]+Таблица191012[[#This Row],[Щебень]]+Таблица191012[[#This Row],[Асфальт]]+Таблица191012[[#This Row],[Бетон]]</f>
        <v>1</v>
      </c>
      <c r="W88" s="306"/>
      <c r="X88" s="306"/>
      <c r="Y88" s="306"/>
      <c r="Z88" s="306"/>
    </row>
    <row r="89" spans="1:26" s="234" customFormat="1" x14ac:dyDescent="0.35">
      <c r="A89" s="146">
        <v>87</v>
      </c>
      <c r="B89" s="146" t="s">
        <v>171</v>
      </c>
      <c r="C89" s="146" t="s">
        <v>172</v>
      </c>
      <c r="D89" s="146" t="s">
        <v>571</v>
      </c>
      <c r="E89" s="254">
        <f>Таблица191012[[#This Row],[Грунт]]+Таблица191012[[#This Row],[Щебень]]+Таблица191012[[#This Row],[Асфальт]]+Таблица191012[[#This Row],[Бетон]]</f>
        <v>2</v>
      </c>
      <c r="F89" s="311">
        <v>2</v>
      </c>
      <c r="G89" s="140"/>
      <c r="H89" s="249"/>
      <c r="I89" s="139"/>
      <c r="J89" s="232"/>
      <c r="N89" s="234" t="b">
        <f>OR(Таблица191012[[#This Row],[Щебень]]&gt;0,Таблица191012[[#This Row],[Асфальт]]&gt;0,Таблица191012[[#This Row],[Бетон]]&gt;0)</f>
        <v>0</v>
      </c>
      <c r="Q89" s="234">
        <v>87</v>
      </c>
      <c r="S89" s="235"/>
      <c r="T89" s="235"/>
      <c r="U89" s="306"/>
      <c r="V89" s="306">
        <f>Таблица191012[[#This Row],[Грунт]]+Таблица191012[[#This Row],[Щебень]]+Таблица191012[[#This Row],[Асфальт]]+Таблица191012[[#This Row],[Бетон]]</f>
        <v>2</v>
      </c>
      <c r="W89" s="306"/>
      <c r="X89" s="306"/>
      <c r="Y89" s="306"/>
      <c r="Z89" s="306"/>
    </row>
    <row r="90" spans="1:26" s="234" customFormat="1" x14ac:dyDescent="0.35">
      <c r="A90" s="146">
        <v>88</v>
      </c>
      <c r="B90" s="146" t="s">
        <v>173</v>
      </c>
      <c r="C90" s="146" t="s">
        <v>174</v>
      </c>
      <c r="D90" s="146" t="s">
        <v>571</v>
      </c>
      <c r="E90" s="254">
        <f>Таблица191012[[#This Row],[Грунт]]+Таблица191012[[#This Row],[Щебень]]+Таблица191012[[#This Row],[Асфальт]]+Таблица191012[[#This Row],[Бетон]]</f>
        <v>2</v>
      </c>
      <c r="F90" s="311">
        <v>2</v>
      </c>
      <c r="G90" s="140"/>
      <c r="H90" s="249"/>
      <c r="I90" s="139"/>
      <c r="J90" s="232"/>
      <c r="K90" s="234" t="s">
        <v>558</v>
      </c>
      <c r="N90" s="234" t="b">
        <f>OR(Таблица191012[[#This Row],[Щебень]]&gt;0,Таблица191012[[#This Row],[Асфальт]]&gt;0,Таблица191012[[#This Row],[Бетон]]&gt;0)</f>
        <v>0</v>
      </c>
      <c r="Q90" s="234">
        <v>88</v>
      </c>
      <c r="S90" s="235"/>
      <c r="T90" s="235"/>
      <c r="U90" s="306"/>
      <c r="V90" s="306">
        <f>Таблица191012[[#This Row],[Грунт]]+Таблица191012[[#This Row],[Щебень]]+Таблица191012[[#This Row],[Асфальт]]+Таблица191012[[#This Row],[Бетон]]</f>
        <v>2</v>
      </c>
      <c r="W90" s="306"/>
      <c r="X90" s="306"/>
      <c r="Y90" s="306"/>
      <c r="Z90" s="306"/>
    </row>
    <row r="91" spans="1:26" s="234" customFormat="1" x14ac:dyDescent="0.35">
      <c r="A91" s="146">
        <v>89</v>
      </c>
      <c r="B91" s="146" t="s">
        <v>175</v>
      </c>
      <c r="C91" s="146" t="s">
        <v>176</v>
      </c>
      <c r="D91" s="146" t="s">
        <v>571</v>
      </c>
      <c r="E91" s="254">
        <f>Таблица191012[[#This Row],[Грунт]]+Таблица191012[[#This Row],[Щебень]]+Таблица191012[[#This Row],[Асфальт]]+Таблица191012[[#This Row],[Бетон]]</f>
        <v>1</v>
      </c>
      <c r="F91" s="311">
        <v>1</v>
      </c>
      <c r="G91" s="140"/>
      <c r="H91" s="249"/>
      <c r="I91" s="139"/>
      <c r="J91" s="232"/>
      <c r="N91" s="234" t="b">
        <f>OR(Таблица191012[[#This Row],[Щебень]]&gt;0,Таблица191012[[#This Row],[Асфальт]]&gt;0,Таблица191012[[#This Row],[Бетон]]&gt;0)</f>
        <v>0</v>
      </c>
      <c r="Q91" s="234">
        <v>89</v>
      </c>
      <c r="S91" s="235"/>
      <c r="T91" s="235"/>
      <c r="U91" s="306"/>
      <c r="V91" s="306">
        <f>Таблица191012[[#This Row],[Грунт]]+Таблица191012[[#This Row],[Щебень]]+Таблица191012[[#This Row],[Асфальт]]+Таблица191012[[#This Row],[Бетон]]</f>
        <v>1</v>
      </c>
      <c r="W91" s="306"/>
      <c r="X91" s="306"/>
      <c r="Y91" s="306"/>
      <c r="Z91" s="306"/>
    </row>
    <row r="92" spans="1:26" s="234" customFormat="1" x14ac:dyDescent="0.35">
      <c r="A92" s="146">
        <v>90</v>
      </c>
      <c r="B92" s="146" t="s">
        <v>177</v>
      </c>
      <c r="C92" s="146" t="s">
        <v>810</v>
      </c>
      <c r="D92" s="146" t="s">
        <v>571</v>
      </c>
      <c r="E92" s="254">
        <f>Таблица191012[[#This Row],[Грунт]]+Таблица191012[[#This Row],[Щебень]]+Таблица191012[[#This Row],[Асфальт]]+Таблица191012[[#This Row],[Бетон]]</f>
        <v>4</v>
      </c>
      <c r="F92" s="311"/>
      <c r="G92" s="140"/>
      <c r="H92" s="249"/>
      <c r="I92" s="139">
        <v>4</v>
      </c>
      <c r="J92" s="232"/>
      <c r="N92" s="234" t="b">
        <f>OR(Таблица191012[[#This Row],[Щебень]]&gt;0,Таблица191012[[#This Row],[Асфальт]]&gt;0,Таблица191012[[#This Row],[Бетон]]&gt;0)</f>
        <v>1</v>
      </c>
      <c r="O92" s="234">
        <v>1</v>
      </c>
      <c r="Q92" s="234">
        <v>90</v>
      </c>
      <c r="S92" s="235"/>
      <c r="T92" s="235"/>
      <c r="U92" s="306"/>
      <c r="V92" s="306">
        <f>Таблица191012[[#This Row],[Грунт]]+Таблица191012[[#This Row],[Щебень]]+Таблица191012[[#This Row],[Асфальт]]+Таблица191012[[#This Row],[Бетон]]</f>
        <v>4</v>
      </c>
      <c r="W92" s="306"/>
      <c r="X92" s="306"/>
      <c r="Y92" s="306"/>
      <c r="Z92" s="306"/>
    </row>
    <row r="93" spans="1:26" s="234" customFormat="1" x14ac:dyDescent="0.35">
      <c r="A93" s="146">
        <v>91</v>
      </c>
      <c r="B93" s="146" t="s">
        <v>179</v>
      </c>
      <c r="C93" s="146" t="s">
        <v>180</v>
      </c>
      <c r="D93" s="146" t="s">
        <v>571</v>
      </c>
      <c r="E93" s="254">
        <f>Таблица191012[[#This Row],[Грунт]]+Таблица191012[[#This Row],[Щебень]]+Таблица191012[[#This Row],[Асфальт]]+Таблица191012[[#This Row],[Бетон]]</f>
        <v>2</v>
      </c>
      <c r="F93" s="311">
        <v>2</v>
      </c>
      <c r="G93" s="140"/>
      <c r="H93" s="249"/>
      <c r="I93" s="139"/>
      <c r="J93" s="232"/>
      <c r="N93" s="234" t="b">
        <f>OR(Таблица191012[[#This Row],[Щебень]]&gt;0,Таблица191012[[#This Row],[Асфальт]]&gt;0,Таблица191012[[#This Row],[Бетон]]&gt;0)</f>
        <v>0</v>
      </c>
      <c r="Q93" s="234">
        <v>91</v>
      </c>
      <c r="S93" s="235"/>
      <c r="T93" s="235"/>
      <c r="U93" s="306"/>
      <c r="V93" s="306">
        <f>Таблица191012[[#This Row],[Грунт]]+Таблица191012[[#This Row],[Щебень]]+Таблица191012[[#This Row],[Асфальт]]+Таблица191012[[#This Row],[Бетон]]</f>
        <v>2</v>
      </c>
      <c r="W93" s="306"/>
      <c r="X93" s="306"/>
      <c r="Y93" s="306"/>
      <c r="Z93" s="306"/>
    </row>
    <row r="94" spans="1:26" s="234" customFormat="1" x14ac:dyDescent="0.35">
      <c r="A94" s="146">
        <v>92</v>
      </c>
      <c r="B94" s="146" t="s">
        <v>181</v>
      </c>
      <c r="C94" s="146" t="s">
        <v>182</v>
      </c>
      <c r="D94" s="146" t="s">
        <v>571</v>
      </c>
      <c r="E94" s="254">
        <f>Таблица191012[[#This Row],[Грунт]]+Таблица191012[[#This Row],[Щебень]]+Таблица191012[[#This Row],[Асфальт]]+Таблица191012[[#This Row],[Бетон]]</f>
        <v>2.5</v>
      </c>
      <c r="F94" s="311">
        <v>2.5</v>
      </c>
      <c r="G94" s="140"/>
      <c r="H94" s="249"/>
      <c r="I94" s="139"/>
      <c r="J94" s="232"/>
      <c r="N94" s="234" t="b">
        <f>OR(Таблица191012[[#This Row],[Щебень]]&gt;0,Таблица191012[[#This Row],[Асфальт]]&gt;0,Таблица191012[[#This Row],[Бетон]]&gt;0)</f>
        <v>0</v>
      </c>
      <c r="Q94" s="234">
        <v>92</v>
      </c>
      <c r="S94" s="235"/>
      <c r="T94" s="235"/>
      <c r="U94" s="306"/>
      <c r="V94" s="306">
        <f>Таблица191012[[#This Row],[Грунт]]+Таблица191012[[#This Row],[Щебень]]+Таблица191012[[#This Row],[Асфальт]]+Таблица191012[[#This Row],[Бетон]]</f>
        <v>2.5</v>
      </c>
      <c r="W94" s="306"/>
      <c r="X94" s="306"/>
      <c r="Y94" s="306"/>
      <c r="Z94" s="306"/>
    </row>
    <row r="95" spans="1:26" s="234" customFormat="1" x14ac:dyDescent="0.35">
      <c r="A95" s="146">
        <v>93</v>
      </c>
      <c r="B95" s="146" t="s">
        <v>183</v>
      </c>
      <c r="C95" s="146" t="s">
        <v>184</v>
      </c>
      <c r="D95" s="146" t="s">
        <v>571</v>
      </c>
      <c r="E95" s="254">
        <f>Таблица191012[[#This Row],[Грунт]]+Таблица191012[[#This Row],[Щебень]]+Таблица191012[[#This Row],[Асфальт]]+Таблица191012[[#This Row],[Бетон]]</f>
        <v>3</v>
      </c>
      <c r="F95" s="311">
        <v>3</v>
      </c>
      <c r="G95" s="140"/>
      <c r="H95" s="249"/>
      <c r="I95" s="139"/>
      <c r="J95" s="232"/>
      <c r="N95" s="234" t="b">
        <f>OR(Таблица191012[[#This Row],[Щебень]]&gt;0,Таблица191012[[#This Row],[Асфальт]]&gt;0,Таблица191012[[#This Row],[Бетон]]&gt;0)</f>
        <v>0</v>
      </c>
      <c r="Q95" s="234">
        <v>93</v>
      </c>
      <c r="S95" s="235"/>
      <c r="T95" s="235"/>
      <c r="U95" s="306"/>
      <c r="V95" s="306">
        <f>Таблица191012[[#This Row],[Грунт]]+Таблица191012[[#This Row],[Щебень]]+Таблица191012[[#This Row],[Асфальт]]+Таблица191012[[#This Row],[Бетон]]</f>
        <v>3</v>
      </c>
      <c r="W95" s="306"/>
      <c r="X95" s="306"/>
      <c r="Y95" s="306"/>
      <c r="Z95" s="306"/>
    </row>
    <row r="96" spans="1:26" s="234" customFormat="1" x14ac:dyDescent="0.35">
      <c r="A96" s="146">
        <v>94</v>
      </c>
      <c r="B96" s="146" t="s">
        <v>185</v>
      </c>
      <c r="C96" s="146" t="s">
        <v>186</v>
      </c>
      <c r="D96" s="146" t="s">
        <v>571</v>
      </c>
      <c r="E96" s="254">
        <f>Таблица191012[[#This Row],[Грунт]]+Таблица191012[[#This Row],[Щебень]]+Таблица191012[[#This Row],[Асфальт]]+Таблица191012[[#This Row],[Бетон]]</f>
        <v>3</v>
      </c>
      <c r="F96" s="311">
        <v>3</v>
      </c>
      <c r="G96" s="140"/>
      <c r="H96" s="249"/>
      <c r="I96" s="139"/>
      <c r="J96" s="232"/>
      <c r="N96" s="234" t="b">
        <f>OR(Таблица191012[[#This Row],[Щебень]]&gt;0,Таблица191012[[#This Row],[Асфальт]]&gt;0,Таблица191012[[#This Row],[Бетон]]&gt;0)</f>
        <v>0</v>
      </c>
      <c r="Q96" s="234">
        <v>94</v>
      </c>
      <c r="S96" s="235"/>
      <c r="T96" s="235"/>
      <c r="U96" s="306"/>
      <c r="V96" s="306">
        <f>Таблица191012[[#This Row],[Грунт]]+Таблица191012[[#This Row],[Щебень]]+Таблица191012[[#This Row],[Асфальт]]+Таблица191012[[#This Row],[Бетон]]</f>
        <v>3</v>
      </c>
      <c r="W96" s="306"/>
      <c r="X96" s="306"/>
      <c r="Y96" s="306"/>
      <c r="Z96" s="306"/>
    </row>
    <row r="97" spans="1:33" s="234" customFormat="1" x14ac:dyDescent="0.35">
      <c r="A97" s="146">
        <v>95</v>
      </c>
      <c r="B97" s="146" t="s">
        <v>187</v>
      </c>
      <c r="C97" s="146" t="s">
        <v>188</v>
      </c>
      <c r="D97" s="146" t="s">
        <v>571</v>
      </c>
      <c r="E97" s="254">
        <f>Таблица191012[[#This Row],[Грунт]]+Таблица191012[[#This Row],[Щебень]]+Таблица191012[[#This Row],[Асфальт]]+Таблица191012[[#This Row],[Бетон]]</f>
        <v>2</v>
      </c>
      <c r="F97" s="311">
        <v>2</v>
      </c>
      <c r="G97" s="140"/>
      <c r="H97" s="249"/>
      <c r="I97" s="139"/>
      <c r="J97" s="232"/>
      <c r="N97" s="234" t="b">
        <f>OR(Таблица191012[[#This Row],[Щебень]]&gt;0,Таблица191012[[#This Row],[Асфальт]]&gt;0,Таблица191012[[#This Row],[Бетон]]&gt;0)</f>
        <v>0</v>
      </c>
      <c r="Q97" s="234">
        <v>95</v>
      </c>
      <c r="S97" s="235"/>
      <c r="T97" s="235"/>
      <c r="U97" s="306"/>
      <c r="V97" s="306">
        <f>Таблица191012[[#This Row],[Грунт]]+Таблица191012[[#This Row],[Щебень]]+Таблица191012[[#This Row],[Асфальт]]+Таблица191012[[#This Row],[Бетон]]</f>
        <v>2</v>
      </c>
      <c r="W97" s="306"/>
      <c r="X97" s="306"/>
      <c r="Y97" s="306"/>
      <c r="Z97" s="306"/>
    </row>
    <row r="98" spans="1:33" s="234" customFormat="1" ht="46.5" x14ac:dyDescent="0.35">
      <c r="A98" s="146">
        <v>96</v>
      </c>
      <c r="B98" s="146" t="s">
        <v>189</v>
      </c>
      <c r="C98" s="146" t="s">
        <v>190</v>
      </c>
      <c r="D98" s="146" t="s">
        <v>548</v>
      </c>
      <c r="E98" s="254">
        <f>Таблица191012[[#This Row],[Грунт]]+Таблица191012[[#This Row],[Щебень]]+Таблица191012[[#This Row],[Асфальт]]+Таблица191012[[#This Row],[Бетон]]</f>
        <v>2.5</v>
      </c>
      <c r="F98" s="311">
        <v>1.3</v>
      </c>
      <c r="G98" s="140"/>
      <c r="H98" s="249">
        <v>1.2</v>
      </c>
      <c r="I98" s="139">
        <v>0</v>
      </c>
      <c r="J98" s="232"/>
      <c r="K98" s="233" t="s">
        <v>557</v>
      </c>
      <c r="N98" s="234" t="b">
        <f>OR(Таблица191012[[#This Row],[Щебень]]&gt;0,Таблица191012[[#This Row],[Асфальт]]&gt;0,Таблица191012[[#This Row],[Бетон]]&gt;0)</f>
        <v>1</v>
      </c>
      <c r="O98" s="234">
        <v>1</v>
      </c>
      <c r="Q98" s="234">
        <v>96</v>
      </c>
      <c r="S98" s="235"/>
      <c r="T98" s="235"/>
      <c r="U98" s="306"/>
      <c r="V98" s="306">
        <f>Таблица191012[[#This Row],[Грунт]]+Таблица191012[[#This Row],[Щебень]]+Таблица191012[[#This Row],[Асфальт]]+Таблица191012[[#This Row],[Бетон]]</f>
        <v>2.5</v>
      </c>
      <c r="W98" s="306"/>
      <c r="X98" s="306"/>
      <c r="Y98" s="306"/>
      <c r="Z98" s="306"/>
    </row>
    <row r="99" spans="1:33" s="234" customFormat="1" ht="46.5" x14ac:dyDescent="0.35">
      <c r="A99" s="146">
        <v>97</v>
      </c>
      <c r="B99" s="146" t="s">
        <v>191</v>
      </c>
      <c r="C99" s="146" t="s">
        <v>192</v>
      </c>
      <c r="D99" s="146" t="s">
        <v>548</v>
      </c>
      <c r="E99" s="254">
        <f>Таблица191012[[#This Row],[Грунт]]+Таблица191012[[#This Row],[Щебень]]+Таблица191012[[#This Row],[Асфальт]]+Таблица191012[[#This Row],[Бетон]]</f>
        <v>1.54</v>
      </c>
      <c r="F99" s="311"/>
      <c r="G99" s="140"/>
      <c r="H99" s="249">
        <v>1.54</v>
      </c>
      <c r="I99" s="139"/>
      <c r="J99" s="232"/>
      <c r="K99" s="233" t="s">
        <v>557</v>
      </c>
      <c r="N99" s="234" t="b">
        <f>OR(Таблица191012[[#This Row],[Щебень]]&gt;0,Таблица191012[[#This Row],[Асфальт]]&gt;0,Таблица191012[[#This Row],[Бетон]]&gt;0)</f>
        <v>1</v>
      </c>
      <c r="O99" s="234">
        <v>1</v>
      </c>
      <c r="Q99" s="234">
        <v>97</v>
      </c>
      <c r="S99" s="235"/>
      <c r="T99" s="235"/>
      <c r="U99" s="306"/>
      <c r="V99" s="306">
        <f>Таблица191012[[#This Row],[Грунт]]+Таблица191012[[#This Row],[Щебень]]+Таблица191012[[#This Row],[Асфальт]]+Таблица191012[[#This Row],[Бетон]]</f>
        <v>1.54</v>
      </c>
      <c r="W99" s="306"/>
      <c r="X99" s="306"/>
      <c r="Y99" s="306"/>
      <c r="Z99" s="306"/>
    </row>
    <row r="100" spans="1:33" s="234" customFormat="1" x14ac:dyDescent="0.35">
      <c r="A100" s="146">
        <v>98</v>
      </c>
      <c r="B100" s="146" t="s">
        <v>193</v>
      </c>
      <c r="C100" s="146" t="s">
        <v>194</v>
      </c>
      <c r="D100" s="146" t="s">
        <v>539</v>
      </c>
      <c r="E100" s="254">
        <f>Таблица191012[[#This Row],[Грунт]]+Таблица191012[[#This Row],[Щебень]]+Таблица191012[[#This Row],[Асфальт]]+Таблица191012[[#This Row],[Бетон]]</f>
        <v>3.5</v>
      </c>
      <c r="F100" s="311">
        <v>3.5</v>
      </c>
      <c r="G100" s="140"/>
      <c r="H100" s="249"/>
      <c r="I100" s="139"/>
      <c r="J100" s="232"/>
      <c r="N100" s="234" t="b">
        <f>OR(Таблица191012[[#This Row],[Щебень]]&gt;0,Таблица191012[[#This Row],[Асфальт]]&gt;0,Таблица191012[[#This Row],[Бетон]]&gt;0)</f>
        <v>0</v>
      </c>
      <c r="Q100" s="234">
        <v>98</v>
      </c>
      <c r="S100" s="235"/>
      <c r="T100" s="235"/>
      <c r="U100" s="306"/>
      <c r="V100" s="306">
        <f>Таблица191012[[#This Row],[Грунт]]+Таблица191012[[#This Row],[Щебень]]+Таблица191012[[#This Row],[Асфальт]]+Таблица191012[[#This Row],[Бетон]]</f>
        <v>3.5</v>
      </c>
      <c r="W100" s="306"/>
      <c r="X100" s="306"/>
      <c r="Y100" s="306"/>
      <c r="Z100" s="306"/>
    </row>
    <row r="101" spans="1:33" s="234" customFormat="1" ht="46.5" x14ac:dyDescent="0.35">
      <c r="A101" s="146">
        <v>99</v>
      </c>
      <c r="B101" s="146" t="s">
        <v>195</v>
      </c>
      <c r="C101" s="146" t="s">
        <v>196</v>
      </c>
      <c r="D101" s="146" t="s">
        <v>548</v>
      </c>
      <c r="E101" s="254">
        <f>Таблица191012[[#This Row],[Грунт]]+Таблица191012[[#This Row],[Щебень]]+Таблица191012[[#This Row],[Асфальт]]+Таблица191012[[#This Row],[Бетон]]</f>
        <v>2.2000000000000002</v>
      </c>
      <c r="F101" s="311"/>
      <c r="G101" s="140">
        <v>2.2000000000000002</v>
      </c>
      <c r="H101" s="249"/>
      <c r="I101" s="139"/>
      <c r="J101" s="232"/>
      <c r="K101" s="233" t="s">
        <v>557</v>
      </c>
      <c r="N101" s="234" t="b">
        <f>OR(Таблица191012[[#This Row],[Щебень]]&gt;0,Таблица191012[[#This Row],[Асфальт]]&gt;0,Таблица191012[[#This Row],[Бетон]]&gt;0)</f>
        <v>1</v>
      </c>
      <c r="O101" s="234">
        <v>1</v>
      </c>
      <c r="Q101" s="234">
        <v>99</v>
      </c>
      <c r="S101" s="235"/>
      <c r="T101" s="235"/>
      <c r="U101" s="306"/>
      <c r="V101" s="306">
        <f>Таблица191012[[#This Row],[Грунт]]+Таблица191012[[#This Row],[Щебень]]+Таблица191012[[#This Row],[Асфальт]]+Таблица191012[[#This Row],[Бетон]]</f>
        <v>2.2000000000000002</v>
      </c>
      <c r="W101" s="306"/>
      <c r="X101" s="306"/>
      <c r="Y101" s="306"/>
      <c r="Z101" s="306"/>
    </row>
    <row r="102" spans="1:33" s="234" customFormat="1" ht="46.5" x14ac:dyDescent="0.35">
      <c r="A102" s="146">
        <v>100</v>
      </c>
      <c r="B102" s="146" t="s">
        <v>197</v>
      </c>
      <c r="C102" s="146" t="s">
        <v>198</v>
      </c>
      <c r="D102" s="146" t="s">
        <v>547</v>
      </c>
      <c r="E102" s="254">
        <f>Таблица191012[[#This Row],[Грунт]]+Таблица191012[[#This Row],[Щебень]]+Таблица191012[[#This Row],[Асфальт]]+Таблица191012[[#This Row],[Бетон]]</f>
        <v>1.2</v>
      </c>
      <c r="F102" s="311">
        <v>1.2</v>
      </c>
      <c r="G102" s="140"/>
      <c r="H102" s="249"/>
      <c r="I102" s="139"/>
      <c r="J102" s="232"/>
      <c r="N102" s="234" t="b">
        <f>OR(Таблица191012[[#This Row],[Щебень]]&gt;0,Таблица191012[[#This Row],[Асфальт]]&gt;0,Таблица191012[[#This Row],[Бетон]]&gt;0)</f>
        <v>0</v>
      </c>
      <c r="Q102" s="234">
        <v>100</v>
      </c>
      <c r="S102" s="235"/>
      <c r="T102" s="235"/>
      <c r="U102" s="306"/>
      <c r="V102" s="306">
        <f>Таблица191012[[#This Row],[Грунт]]+Таблица191012[[#This Row],[Щебень]]+Таблица191012[[#This Row],[Асфальт]]+Таблица191012[[#This Row],[Бетон]]</f>
        <v>1.2</v>
      </c>
      <c r="W102" s="306"/>
      <c r="X102" s="306"/>
      <c r="Y102" s="306"/>
      <c r="Z102" s="306"/>
    </row>
    <row r="103" spans="1:33" s="234" customFormat="1" x14ac:dyDescent="0.35">
      <c r="A103" s="146">
        <v>101</v>
      </c>
      <c r="B103" s="146" t="s">
        <v>199</v>
      </c>
      <c r="C103" s="146" t="s">
        <v>200</v>
      </c>
      <c r="D103" s="146" t="s">
        <v>539</v>
      </c>
      <c r="E103" s="254">
        <f>Таблица191012[[#This Row],[Грунт]]+Таблица191012[[#This Row],[Щебень]]+Таблица191012[[#This Row],[Асфальт]]+Таблица191012[[#This Row],[Бетон]]</f>
        <v>1.8</v>
      </c>
      <c r="F103" s="311">
        <v>1.8</v>
      </c>
      <c r="G103" s="140"/>
      <c r="H103" s="249"/>
      <c r="I103" s="139"/>
      <c r="J103" s="232"/>
      <c r="N103" s="234" t="b">
        <f>OR(Таблица191012[[#This Row],[Щебень]]&gt;0,Таблица191012[[#This Row],[Асфальт]]&gt;0,Таблица191012[[#This Row],[Бетон]]&gt;0)</f>
        <v>0</v>
      </c>
      <c r="Q103" s="234">
        <v>101</v>
      </c>
      <c r="S103" s="235"/>
      <c r="T103" s="235"/>
      <c r="U103" s="306"/>
      <c r="V103" s="306">
        <f>Таблица191012[[#This Row],[Грунт]]+Таблица191012[[#This Row],[Щебень]]+Таблица191012[[#This Row],[Асфальт]]+Таблица191012[[#This Row],[Бетон]]</f>
        <v>1.8</v>
      </c>
      <c r="W103" s="306"/>
      <c r="X103" s="306"/>
      <c r="Y103" s="306"/>
      <c r="Z103" s="306"/>
    </row>
    <row r="104" spans="1:33" s="234" customFormat="1" x14ac:dyDescent="0.35">
      <c r="A104" s="146">
        <v>102</v>
      </c>
      <c r="B104" s="146" t="s">
        <v>201</v>
      </c>
      <c r="C104" s="146" t="s">
        <v>202</v>
      </c>
      <c r="D104" s="146" t="s">
        <v>543</v>
      </c>
      <c r="E104" s="254">
        <f>Таблица191012[[#This Row],[Грунт]]+Таблица191012[[#This Row],[Щебень]]+Таблица191012[[#This Row],[Асфальт]]+Таблица191012[[#This Row],[Бетон]]</f>
        <v>1</v>
      </c>
      <c r="F104" s="311"/>
      <c r="G104" s="140">
        <v>1</v>
      </c>
      <c r="H104" s="249"/>
      <c r="I104" s="139"/>
      <c r="J104" s="232"/>
      <c r="N104" s="234" t="b">
        <f>OR(Таблица191012[[#This Row],[Щебень]]&gt;0,Таблица191012[[#This Row],[Асфальт]]&gt;0,Таблица191012[[#This Row],[Бетон]]&gt;0)</f>
        <v>1</v>
      </c>
      <c r="O104" s="234">
        <v>1</v>
      </c>
      <c r="Q104" s="234">
        <v>102</v>
      </c>
      <c r="S104" s="235"/>
      <c r="T104" s="235"/>
      <c r="U104" s="306"/>
      <c r="V104" s="306">
        <f>Таблица191012[[#This Row],[Грунт]]+Таблица191012[[#This Row],[Щебень]]+Таблица191012[[#This Row],[Асфальт]]+Таблица191012[[#This Row],[Бетон]]</f>
        <v>1</v>
      </c>
      <c r="W104" s="306"/>
      <c r="X104" s="306"/>
      <c r="Y104" s="306"/>
      <c r="Z104" s="306"/>
    </row>
    <row r="105" spans="1:33" s="234" customFormat="1" ht="46.5" x14ac:dyDescent="0.35">
      <c r="A105" s="146">
        <v>103</v>
      </c>
      <c r="B105" s="146" t="s">
        <v>203</v>
      </c>
      <c r="C105" s="146" t="s">
        <v>534</v>
      </c>
      <c r="D105" s="146" t="s">
        <v>545</v>
      </c>
      <c r="E105" s="255">
        <f>Таблица191012[[#This Row],[Грунт]]+Таблица191012[[#This Row],[Щебень]]+Таблица191012[[#This Row],[Асфальт]]</f>
        <v>3.2</v>
      </c>
      <c r="F105" s="311"/>
      <c r="G105" s="140"/>
      <c r="H105" s="249">
        <v>3.2</v>
      </c>
      <c r="I105" s="139"/>
      <c r="J105" s="232"/>
      <c r="N105" s="234" t="b">
        <f>OR(Таблица191012[[#This Row],[Щебень]]&gt;0,Таблица191012[[#This Row],[Асфальт]]&gt;0,Таблица191012[[#This Row],[Бетон]]&gt;0)</f>
        <v>1</v>
      </c>
      <c r="O105" s="234">
        <v>1</v>
      </c>
      <c r="Q105" s="234">
        <v>103</v>
      </c>
      <c r="S105" s="235"/>
      <c r="T105" s="235"/>
      <c r="U105" s="306"/>
      <c r="V105" s="306">
        <f>Таблица191012[[#This Row],[Грунт]]+Таблица191012[[#This Row],[Щебень]]+Таблица191012[[#This Row],[Асфальт]]+Таблица191012[[#This Row],[Бетон]]</f>
        <v>3.2</v>
      </c>
      <c r="W105" s="306"/>
      <c r="X105" s="306"/>
      <c r="Y105" s="306"/>
      <c r="Z105" s="306"/>
    </row>
    <row r="106" spans="1:33" s="234" customFormat="1" ht="46.5" x14ac:dyDescent="0.35">
      <c r="A106" s="146">
        <v>105</v>
      </c>
      <c r="B106" s="146" t="s">
        <v>822</v>
      </c>
      <c r="C106" s="236" t="s">
        <v>783</v>
      </c>
      <c r="D106" s="237" t="s">
        <v>542</v>
      </c>
      <c r="E106" s="254">
        <f>Таблица191012[[#This Row],[Грунт]]+Таблица191012[[#This Row],[Щебень]]+Таблица191012[[#This Row],[Асфальт]]+Таблица191012[[#This Row],[Бетон]]</f>
        <v>1.901</v>
      </c>
      <c r="F106" s="311">
        <v>1.901</v>
      </c>
      <c r="G106" s="140"/>
      <c r="H106" s="249"/>
      <c r="I106" s="139"/>
      <c r="J106" s="232"/>
      <c r="N106" s="238" t="b">
        <f>OR(Таблица191012[[#This Row],[Щебень]]&gt;0,Таблица191012[[#This Row],[Асфальт]]&gt;0,Таблица191012[[#This Row],[Бетон]]&gt;0)</f>
        <v>0</v>
      </c>
      <c r="Q106" s="234">
        <v>104</v>
      </c>
      <c r="R106" s="234" t="s">
        <v>796</v>
      </c>
      <c r="S106" s="235"/>
      <c r="T106" s="235"/>
      <c r="U106" s="306"/>
      <c r="V106" s="306">
        <f>Таблица191012[[#This Row],[Грунт]]+Таблица191012[[#This Row],[Щебень]]+Таблица191012[[#This Row],[Асфальт]]+Таблица191012[[#This Row],[Бетон]]</f>
        <v>1.901</v>
      </c>
      <c r="W106" s="306"/>
      <c r="X106" s="306"/>
      <c r="Y106" s="306"/>
      <c r="Z106" s="306"/>
    </row>
    <row r="107" spans="1:33" s="240" customFormat="1" ht="46.5" x14ac:dyDescent="0.35">
      <c r="A107" s="146">
        <v>106</v>
      </c>
      <c r="B107" s="237" t="s">
        <v>788</v>
      </c>
      <c r="C107" s="237" t="s">
        <v>789</v>
      </c>
      <c r="D107" s="146" t="s">
        <v>548</v>
      </c>
      <c r="E107" s="256">
        <v>0.43</v>
      </c>
      <c r="F107" s="312"/>
      <c r="G107" s="161"/>
      <c r="H107" s="250">
        <v>0.43</v>
      </c>
      <c r="I107" s="160"/>
      <c r="J107" s="239"/>
      <c r="N107" s="241" t="b">
        <f>OR(Таблица191012[[#This Row],[Щебень]]&gt;0,Таблица191012[[#This Row],[Асфальт]]&gt;0,Таблица191012[[#This Row],[Бетон]]&gt;0)</f>
        <v>1</v>
      </c>
      <c r="Q107" s="234">
        <v>105</v>
      </c>
      <c r="R107" s="234">
        <f>SUM(E109:E277)</f>
        <v>259.16499999999985</v>
      </c>
      <c r="S107" s="235"/>
      <c r="T107" s="235"/>
      <c r="U107" s="306"/>
      <c r="V107" s="306">
        <f>Таблица191012[[#This Row],[Грунт]]+Таблица191012[[#This Row],[Щебень]]+Таблица191012[[#This Row],[Асфальт]]+Таблица191012[[#This Row],[Бетон]]</f>
        <v>0.43</v>
      </c>
      <c r="W107" s="306"/>
      <c r="X107" s="306"/>
      <c r="Y107" s="306"/>
      <c r="Z107" s="306"/>
    </row>
    <row r="108" spans="1:33" s="240" customFormat="1" ht="36" customHeight="1" x14ac:dyDescent="0.35">
      <c r="A108" s="146">
        <v>107</v>
      </c>
      <c r="B108" s="237" t="s">
        <v>823</v>
      </c>
      <c r="C108" s="144" t="s">
        <v>824</v>
      </c>
      <c r="D108" s="144" t="s">
        <v>537</v>
      </c>
      <c r="E108" s="256">
        <f>Таблица191012[[#This Row],[Грунт]]+Таблица191012[[#This Row],[Щебень]]+Таблица191012[[#This Row],[Асфальт]]+Таблица191012[[#This Row],[Бетон]]</f>
        <v>3.5</v>
      </c>
      <c r="F108" s="311">
        <v>3.5</v>
      </c>
      <c r="G108" s="140"/>
      <c r="H108" s="249"/>
      <c r="I108" s="139"/>
      <c r="J108" s="232"/>
      <c r="K108" s="285"/>
      <c r="L108" s="285"/>
      <c r="M108" s="285"/>
      <c r="N108" s="286" t="b">
        <f>OR(Таблица191012[[#This Row],[Щебень]]&gt;0,Таблица191012[[#This Row],[Асфальт]]&gt;0,Таблица191012[[#This Row],[Бетон]]&gt;0)</f>
        <v>0</v>
      </c>
      <c r="O108" s="285"/>
      <c r="P108" s="285"/>
      <c r="Q108" s="285"/>
      <c r="R108" s="285"/>
      <c r="S108" s="285"/>
      <c r="T108" s="285"/>
      <c r="U108" s="306"/>
      <c r="V108" s="306">
        <f>Таблица191012[[#This Row],[Грунт]]+Таблица191012[[#This Row],[Щебень]]+Таблица191012[[#This Row],[Асфальт]]+Таблица191012[[#This Row],[Бетон]]</f>
        <v>3.5</v>
      </c>
      <c r="W108" s="306"/>
      <c r="X108" s="306"/>
      <c r="Y108" s="306"/>
      <c r="Z108" s="306"/>
    </row>
    <row r="109" spans="1:33" s="234" customFormat="1" ht="46.5" x14ac:dyDescent="0.35">
      <c r="A109" s="146">
        <v>108</v>
      </c>
      <c r="B109" s="146" t="s">
        <v>205</v>
      </c>
      <c r="C109" s="146" t="s">
        <v>206</v>
      </c>
      <c r="D109" s="146" t="s">
        <v>538</v>
      </c>
      <c r="E109" s="254">
        <f>Таблица191012[[#This Row],[Грунт]]+Таблица191012[[#This Row],[Щебень]]+Таблица191012[[#This Row],[Асфальт]]+Таблица191012[[#This Row],[Бетон]]</f>
        <v>4</v>
      </c>
      <c r="F109" s="311"/>
      <c r="G109" s="140"/>
      <c r="H109" s="249">
        <v>4</v>
      </c>
      <c r="I109" s="139"/>
      <c r="J109" s="232"/>
      <c r="K109" s="234" t="s">
        <v>558</v>
      </c>
      <c r="L109" s="234">
        <v>1.45</v>
      </c>
      <c r="N109" s="234" t="b">
        <f>OR(Таблица191012[[#This Row],[Щебень]]&gt;0,Таблица191012[[#This Row],[Асфальт]]&gt;0,Таблица191012[[#This Row],[Бетон]]&gt;0)</f>
        <v>1</v>
      </c>
      <c r="O109" s="234">
        <v>1</v>
      </c>
      <c r="Q109" s="234">
        <v>106</v>
      </c>
      <c r="S109" s="235"/>
      <c r="T109" s="235"/>
      <c r="U109" s="306"/>
      <c r="V109" s="306">
        <f>Таблица191012[[#This Row],[Грунт]]+Таблица191012[[#This Row],[Щебень]]+Таблица191012[[#This Row],[Асфальт]]+Таблица191012[[#This Row],[Бетон]]</f>
        <v>4</v>
      </c>
      <c r="W109" s="306"/>
      <c r="X109" s="306"/>
      <c r="Y109" s="306"/>
      <c r="Z109" s="306"/>
      <c r="AG109" s="234">
        <v>1</v>
      </c>
    </row>
    <row r="110" spans="1:33" s="234" customFormat="1" ht="46.5" x14ac:dyDescent="0.35">
      <c r="A110" s="146">
        <v>109</v>
      </c>
      <c r="B110" s="146" t="s">
        <v>207</v>
      </c>
      <c r="C110" s="146" t="s">
        <v>208</v>
      </c>
      <c r="D110" s="146" t="s">
        <v>538</v>
      </c>
      <c r="E110" s="254">
        <f>Таблица191012[[#This Row],[Грунт]]+Таблица191012[[#This Row],[Щебень]]+Таблица191012[[#This Row],[Асфальт]]+Таблица191012[[#This Row],[Бетон]]</f>
        <v>4</v>
      </c>
      <c r="F110" s="311">
        <v>4</v>
      </c>
      <c r="G110" s="140"/>
      <c r="H110" s="249"/>
      <c r="I110" s="139"/>
      <c r="J110" s="232"/>
      <c r="N110" s="234" t="b">
        <f>OR(Таблица191012[[#This Row],[Щебень]]&gt;0,Таблица191012[[#This Row],[Асфальт]]&gt;0,Таблица191012[[#This Row],[Бетон]]&gt;0)</f>
        <v>0</v>
      </c>
      <c r="Q110" s="234">
        <v>107</v>
      </c>
      <c r="S110" s="235"/>
      <c r="T110" s="235"/>
      <c r="U110" s="306"/>
      <c r="V110" s="306">
        <f>Таблица191012[[#This Row],[Грунт]]+Таблица191012[[#This Row],[Щебень]]+Таблица191012[[#This Row],[Асфальт]]+Таблица191012[[#This Row],[Бетон]]</f>
        <v>4</v>
      </c>
      <c r="W110" s="306"/>
      <c r="X110" s="306"/>
      <c r="Y110" s="306"/>
      <c r="Z110" s="306"/>
      <c r="AG110" s="234">
        <v>2</v>
      </c>
    </row>
    <row r="111" spans="1:33" s="234" customFormat="1" ht="46.5" x14ac:dyDescent="0.35">
      <c r="A111" s="146">
        <v>110</v>
      </c>
      <c r="B111" s="146" t="s">
        <v>209</v>
      </c>
      <c r="C111" s="146" t="s">
        <v>210</v>
      </c>
      <c r="D111" s="146" t="s">
        <v>538</v>
      </c>
      <c r="E111" s="254">
        <f>Таблица191012[[#This Row],[Грунт]]+Таблица191012[[#This Row],[Щебень]]+Таблица191012[[#This Row],[Асфальт]]+Таблица191012[[#This Row],[Бетон]]</f>
        <v>3.7</v>
      </c>
      <c r="F111" s="311">
        <v>3.7</v>
      </c>
      <c r="G111" s="140"/>
      <c r="H111" s="249"/>
      <c r="I111" s="139"/>
      <c r="J111" s="232"/>
      <c r="N111" s="234" t="b">
        <f>OR(Таблица191012[[#This Row],[Щебень]]&gt;0,Таблица191012[[#This Row],[Асфальт]]&gt;0,Таблица191012[[#This Row],[Бетон]]&gt;0)</f>
        <v>0</v>
      </c>
      <c r="Q111" s="234">
        <v>108</v>
      </c>
      <c r="S111" s="235"/>
      <c r="T111" s="235"/>
      <c r="U111" s="306"/>
      <c r="V111" s="306">
        <f>Таблица191012[[#This Row],[Грунт]]+Таблица191012[[#This Row],[Щебень]]+Таблица191012[[#This Row],[Асфальт]]+Таблица191012[[#This Row],[Бетон]]</f>
        <v>3.7</v>
      </c>
      <c r="W111" s="306"/>
      <c r="X111" s="306"/>
      <c r="Y111" s="306"/>
      <c r="Z111" s="306"/>
      <c r="AG111" s="234">
        <v>3</v>
      </c>
    </row>
    <row r="112" spans="1:33" s="234" customFormat="1" ht="46.5" x14ac:dyDescent="0.35">
      <c r="A112" s="146">
        <v>111</v>
      </c>
      <c r="B112" s="146" t="s">
        <v>211</v>
      </c>
      <c r="C112" s="146" t="s">
        <v>212</v>
      </c>
      <c r="D112" s="146" t="s">
        <v>538</v>
      </c>
      <c r="E112" s="254">
        <f>Таблица191012[[#This Row],[Грунт]]+Таблица191012[[#This Row],[Щебень]]+Таблица191012[[#This Row],[Асфальт]]+Таблица191012[[#This Row],[Бетон]]</f>
        <v>2.5</v>
      </c>
      <c r="F112" s="311">
        <v>1</v>
      </c>
      <c r="G112" s="140"/>
      <c r="H112" s="249">
        <v>1.5</v>
      </c>
      <c r="I112" s="139"/>
      <c r="J112" s="232"/>
      <c r="N112" s="234" t="b">
        <f>OR(Таблица191012[[#This Row],[Щебень]]&gt;0,Таблица191012[[#This Row],[Асфальт]]&gt;0,Таблица191012[[#This Row],[Бетон]]&gt;0)</f>
        <v>1</v>
      </c>
      <c r="O112" s="234">
        <v>1</v>
      </c>
      <c r="Q112" s="234">
        <v>109</v>
      </c>
      <c r="S112" s="235"/>
      <c r="T112" s="235"/>
      <c r="U112" s="306"/>
      <c r="V112" s="306">
        <f>Таблица191012[[#This Row],[Грунт]]+Таблица191012[[#This Row],[Щебень]]+Таблица191012[[#This Row],[Асфальт]]+Таблица191012[[#This Row],[Бетон]]</f>
        <v>2.5</v>
      </c>
      <c r="W112" s="306"/>
      <c r="X112" s="306"/>
      <c r="Y112" s="306"/>
      <c r="Z112" s="306"/>
      <c r="AG112" s="234">
        <v>4</v>
      </c>
    </row>
    <row r="113" spans="1:33" s="234" customFormat="1" ht="46.5" x14ac:dyDescent="0.35">
      <c r="A113" s="146">
        <v>112</v>
      </c>
      <c r="B113" s="146" t="s">
        <v>213</v>
      </c>
      <c r="C113" s="146" t="s">
        <v>214</v>
      </c>
      <c r="D113" s="146" t="s">
        <v>538</v>
      </c>
      <c r="E113" s="254">
        <f>Таблица191012[[#This Row],[Грунт]]+Таблица191012[[#This Row],[Щебень]]+Таблица191012[[#This Row],[Асфальт]]+Таблица191012[[#This Row],[Бетон]]</f>
        <v>1.3</v>
      </c>
      <c r="F113" s="311">
        <v>1.3</v>
      </c>
      <c r="G113" s="140"/>
      <c r="H113" s="249"/>
      <c r="I113" s="139"/>
      <c r="J113" s="232"/>
      <c r="N113" s="234" t="b">
        <f>OR(Таблица191012[[#This Row],[Щебень]]&gt;0,Таблица191012[[#This Row],[Асфальт]]&gt;0,Таблица191012[[#This Row],[Бетон]]&gt;0)</f>
        <v>0</v>
      </c>
      <c r="Q113" s="234">
        <v>110</v>
      </c>
      <c r="S113" s="235"/>
      <c r="T113" s="235"/>
      <c r="U113" s="306"/>
      <c r="V113" s="306">
        <f>Таблица191012[[#This Row],[Грунт]]+Таблица191012[[#This Row],[Щебень]]+Таблица191012[[#This Row],[Асфальт]]+Таблица191012[[#This Row],[Бетон]]</f>
        <v>1.3</v>
      </c>
      <c r="W113" s="306"/>
      <c r="X113" s="306"/>
      <c r="Y113" s="306"/>
      <c r="Z113" s="306"/>
      <c r="AG113" s="234">
        <v>5</v>
      </c>
    </row>
    <row r="114" spans="1:33" s="234" customFormat="1" ht="46.5" x14ac:dyDescent="0.35">
      <c r="A114" s="146">
        <v>113</v>
      </c>
      <c r="B114" s="146" t="s">
        <v>215</v>
      </c>
      <c r="C114" s="146" t="s">
        <v>216</v>
      </c>
      <c r="D114" s="146" t="s">
        <v>538</v>
      </c>
      <c r="E114" s="254">
        <f>Таблица191012[[#This Row],[Грунт]]+Таблица191012[[#This Row],[Щебень]]+Таблица191012[[#This Row],[Асфальт]]+Таблица191012[[#This Row],[Бетон]]</f>
        <v>3.5</v>
      </c>
      <c r="F114" s="311">
        <v>2.8</v>
      </c>
      <c r="G114" s="140"/>
      <c r="H114" s="249">
        <v>0.7</v>
      </c>
      <c r="I114" s="139"/>
      <c r="J114" s="232"/>
      <c r="N114" s="234" t="b">
        <f>OR(Таблица191012[[#This Row],[Щебень]]&gt;0,Таблица191012[[#This Row],[Асфальт]]&gt;0,Таблица191012[[#This Row],[Бетон]]&gt;0)</f>
        <v>1</v>
      </c>
      <c r="O114" s="234">
        <v>1</v>
      </c>
      <c r="Q114" s="234">
        <v>111</v>
      </c>
      <c r="S114" s="235"/>
      <c r="T114" s="235"/>
      <c r="U114" s="306"/>
      <c r="V114" s="306">
        <f>Таблица191012[[#This Row],[Грунт]]+Таблица191012[[#This Row],[Щебень]]+Таблица191012[[#This Row],[Асфальт]]+Таблица191012[[#This Row],[Бетон]]</f>
        <v>3.5</v>
      </c>
      <c r="W114" s="306"/>
      <c r="X114" s="306"/>
      <c r="Y114" s="306"/>
      <c r="Z114" s="306"/>
      <c r="AG114" s="234">
        <v>6</v>
      </c>
    </row>
    <row r="115" spans="1:33" s="234" customFormat="1" ht="46.5" x14ac:dyDescent="0.35">
      <c r="A115" s="146">
        <v>114</v>
      </c>
      <c r="B115" s="146" t="s">
        <v>217</v>
      </c>
      <c r="C115" s="146" t="s">
        <v>218</v>
      </c>
      <c r="D115" s="146" t="s">
        <v>538</v>
      </c>
      <c r="E115" s="254">
        <f>Таблица191012[[#This Row],[Грунт]]+Таблица191012[[#This Row],[Щебень]]+Таблица191012[[#This Row],[Асфальт]]+Таблица191012[[#This Row],[Бетон]]</f>
        <v>1.8</v>
      </c>
      <c r="F115" s="311">
        <v>1.8</v>
      </c>
      <c r="G115" s="140"/>
      <c r="H115" s="249"/>
      <c r="I115" s="139"/>
      <c r="J115" s="232"/>
      <c r="K115" s="234" t="s">
        <v>558</v>
      </c>
      <c r="N115" s="234" t="b">
        <f>OR(Таблица191012[[#This Row],[Щебень]]&gt;0,Таблица191012[[#This Row],[Асфальт]]&gt;0,Таблица191012[[#This Row],[Бетон]]&gt;0)</f>
        <v>0</v>
      </c>
      <c r="Q115" s="234">
        <v>112</v>
      </c>
      <c r="S115" s="235"/>
      <c r="T115" s="235"/>
      <c r="U115" s="306"/>
      <c r="V115" s="306">
        <f>Таблица191012[[#This Row],[Грунт]]+Таблица191012[[#This Row],[Щебень]]+Таблица191012[[#This Row],[Асфальт]]+Таблица191012[[#This Row],[Бетон]]</f>
        <v>1.8</v>
      </c>
      <c r="W115" s="306"/>
      <c r="X115" s="306"/>
      <c r="Y115" s="306"/>
      <c r="Z115" s="306"/>
      <c r="AG115" s="234">
        <v>7</v>
      </c>
    </row>
    <row r="116" spans="1:33" s="234" customFormat="1" ht="46.5" x14ac:dyDescent="0.35">
      <c r="A116" s="146">
        <v>115</v>
      </c>
      <c r="B116" s="146" t="s">
        <v>219</v>
      </c>
      <c r="C116" s="146" t="s">
        <v>220</v>
      </c>
      <c r="D116" s="146" t="s">
        <v>538</v>
      </c>
      <c r="E116" s="254">
        <f>Таблица191012[[#This Row],[Грунт]]+Таблица191012[[#This Row],[Щебень]]+Таблица191012[[#This Row],[Асфальт]]+Таблица191012[[#This Row],[Бетон]]</f>
        <v>0.7</v>
      </c>
      <c r="F116" s="311">
        <v>0.7</v>
      </c>
      <c r="G116" s="140"/>
      <c r="H116" s="249"/>
      <c r="I116" s="139"/>
      <c r="J116" s="232"/>
      <c r="N116" s="234" t="b">
        <f>OR(Таблица191012[[#This Row],[Щебень]]&gt;0,Таблица191012[[#This Row],[Асфальт]]&gt;0,Таблица191012[[#This Row],[Бетон]]&gt;0)</f>
        <v>0</v>
      </c>
      <c r="Q116" s="234">
        <v>113</v>
      </c>
      <c r="S116" s="235"/>
      <c r="T116" s="235"/>
      <c r="U116" s="306"/>
      <c r="V116" s="306">
        <f>Таблица191012[[#This Row],[Грунт]]+Таблица191012[[#This Row],[Щебень]]+Таблица191012[[#This Row],[Асфальт]]+Таблица191012[[#This Row],[Бетон]]</f>
        <v>0.7</v>
      </c>
      <c r="W116" s="306"/>
      <c r="X116" s="306"/>
      <c r="Y116" s="306"/>
      <c r="Z116" s="306"/>
      <c r="AG116" s="234">
        <v>8</v>
      </c>
    </row>
    <row r="117" spans="1:33" s="234" customFormat="1" ht="46.5" x14ac:dyDescent="0.35">
      <c r="A117" s="146">
        <v>116</v>
      </c>
      <c r="B117" s="146" t="s">
        <v>221</v>
      </c>
      <c r="C117" s="146" t="s">
        <v>222</v>
      </c>
      <c r="D117" s="146" t="s">
        <v>538</v>
      </c>
      <c r="E117" s="254">
        <f>Таблица191012[[#This Row],[Грунт]]+Таблица191012[[#This Row],[Щебень]]+Таблица191012[[#This Row],[Асфальт]]+Таблица191012[[#This Row],[Бетон]]</f>
        <v>1.5</v>
      </c>
      <c r="F117" s="311">
        <v>1.5</v>
      </c>
      <c r="G117" s="140"/>
      <c r="H117" s="249"/>
      <c r="I117" s="139"/>
      <c r="J117" s="232"/>
      <c r="K117" s="234" t="s">
        <v>558</v>
      </c>
      <c r="N117" s="234" t="b">
        <f>OR(Таблица191012[[#This Row],[Щебень]]&gt;0,Таблица191012[[#This Row],[Асфальт]]&gt;0,Таблица191012[[#This Row],[Бетон]]&gt;0)</f>
        <v>0</v>
      </c>
      <c r="Q117" s="234">
        <v>114</v>
      </c>
      <c r="S117" s="235"/>
      <c r="T117" s="235"/>
      <c r="U117" s="306"/>
      <c r="V117" s="306">
        <f>Таблица191012[[#This Row],[Грунт]]+Таблица191012[[#This Row],[Щебень]]+Таблица191012[[#This Row],[Асфальт]]+Таблица191012[[#This Row],[Бетон]]</f>
        <v>1.5</v>
      </c>
      <c r="W117" s="306"/>
      <c r="X117" s="306"/>
      <c r="Y117" s="306"/>
      <c r="Z117" s="306"/>
      <c r="AG117" s="234">
        <v>9</v>
      </c>
    </row>
    <row r="118" spans="1:33" s="234" customFormat="1" ht="46.5" x14ac:dyDescent="0.35">
      <c r="A118" s="146">
        <v>117</v>
      </c>
      <c r="B118" s="146" t="s">
        <v>223</v>
      </c>
      <c r="C118" s="146" t="s">
        <v>224</v>
      </c>
      <c r="D118" s="146" t="s">
        <v>538</v>
      </c>
      <c r="E118" s="254">
        <f>Таблица191012[[#This Row],[Грунт]]+Таблица191012[[#This Row],[Щебень]]+Таблица191012[[#This Row],[Асфальт]]+Таблица191012[[#This Row],[Бетон]]</f>
        <v>1</v>
      </c>
      <c r="F118" s="311">
        <v>1</v>
      </c>
      <c r="G118" s="140"/>
      <c r="H118" s="249"/>
      <c r="I118" s="139"/>
      <c r="J118" s="232"/>
      <c r="N118" s="234" t="b">
        <f>OR(Таблица191012[[#This Row],[Щебень]]&gt;0,Таблица191012[[#This Row],[Асфальт]]&gt;0,Таблица191012[[#This Row],[Бетон]]&gt;0)</f>
        <v>0</v>
      </c>
      <c r="Q118" s="234">
        <v>115</v>
      </c>
      <c r="S118" s="235"/>
      <c r="T118" s="235"/>
      <c r="U118" s="306"/>
      <c r="V118" s="306">
        <f>Таблица191012[[#This Row],[Грунт]]+Таблица191012[[#This Row],[Щебень]]+Таблица191012[[#This Row],[Асфальт]]+Таблица191012[[#This Row],[Бетон]]</f>
        <v>1</v>
      </c>
      <c r="W118" s="306"/>
      <c r="X118" s="306"/>
      <c r="Y118" s="306"/>
      <c r="Z118" s="306"/>
      <c r="AG118" s="234">
        <v>10</v>
      </c>
    </row>
    <row r="119" spans="1:33" s="234" customFormat="1" ht="46.5" x14ac:dyDescent="0.35">
      <c r="A119" s="146">
        <v>118</v>
      </c>
      <c r="B119" s="146" t="s">
        <v>225</v>
      </c>
      <c r="C119" s="146" t="s">
        <v>226</v>
      </c>
      <c r="D119" s="146" t="s">
        <v>537</v>
      </c>
      <c r="E119" s="254">
        <f>Таблица191012[[#This Row],[Грунт]]+Таблица191012[[#This Row],[Щебень]]+Таблица191012[[#This Row],[Асфальт]]+Таблица191012[[#This Row],[Бетон]]</f>
        <v>5</v>
      </c>
      <c r="F119" s="311">
        <v>2.9870000000000001</v>
      </c>
      <c r="G119" s="140">
        <v>0</v>
      </c>
      <c r="H119" s="249">
        <v>2.0129999999999999</v>
      </c>
      <c r="I119" s="139">
        <v>0</v>
      </c>
      <c r="J119" s="232"/>
      <c r="N119" s="234" t="b">
        <f>OR(Таблица191012[[#This Row],[Щебень]]&gt;0,Таблица191012[[#This Row],[Асфальт]]&gt;0,Таблица191012[[#This Row],[Бетон]]&gt;0)</f>
        <v>1</v>
      </c>
      <c r="O119" s="234">
        <v>1</v>
      </c>
      <c r="Q119" s="234">
        <v>116</v>
      </c>
      <c r="S119" s="235"/>
      <c r="T119" s="235"/>
      <c r="U119" s="306"/>
      <c r="V119" s="306">
        <f>Таблица191012[[#This Row],[Грунт]]+Таблица191012[[#This Row],[Щебень]]+Таблица191012[[#This Row],[Асфальт]]+Таблица191012[[#This Row],[Бетон]]</f>
        <v>5</v>
      </c>
      <c r="W119" s="306"/>
      <c r="X119" s="306"/>
      <c r="Y119" s="306"/>
      <c r="Z119" s="306"/>
      <c r="AG119" s="234">
        <v>11</v>
      </c>
    </row>
    <row r="120" spans="1:33" s="234" customFormat="1" ht="46.5" x14ac:dyDescent="0.35">
      <c r="A120" s="146">
        <v>119</v>
      </c>
      <c r="B120" s="146" t="s">
        <v>227</v>
      </c>
      <c r="C120" s="146" t="s">
        <v>228</v>
      </c>
      <c r="D120" s="146" t="s">
        <v>537</v>
      </c>
      <c r="E120" s="254">
        <f>Таблица191012[[#This Row],[Грунт]]+Таблица191012[[#This Row],[Щебень]]+Таблица191012[[#This Row],[Асфальт]]+Таблица191012[[#This Row],[Бетон]]</f>
        <v>1</v>
      </c>
      <c r="F120" s="311">
        <v>1</v>
      </c>
      <c r="G120" s="140"/>
      <c r="H120" s="249"/>
      <c r="I120" s="139"/>
      <c r="J120" s="232"/>
      <c r="N120" s="234" t="b">
        <f>OR(Таблица191012[[#This Row],[Щебень]]&gt;0,Таблица191012[[#This Row],[Асфальт]]&gt;0,Таблица191012[[#This Row],[Бетон]]&gt;0)</f>
        <v>0</v>
      </c>
      <c r="Q120" s="234">
        <v>117</v>
      </c>
      <c r="S120" s="235"/>
      <c r="T120" s="235"/>
      <c r="U120" s="306"/>
      <c r="V120" s="306">
        <f>Таблица191012[[#This Row],[Грунт]]+Таблица191012[[#This Row],[Щебень]]+Таблица191012[[#This Row],[Асфальт]]+Таблица191012[[#This Row],[Бетон]]</f>
        <v>1</v>
      </c>
      <c r="W120" s="306"/>
      <c r="X120" s="306"/>
      <c r="Y120" s="306"/>
      <c r="Z120" s="306"/>
      <c r="AG120" s="234">
        <v>12</v>
      </c>
    </row>
    <row r="121" spans="1:33" s="234" customFormat="1" ht="46.5" x14ac:dyDescent="0.35">
      <c r="A121" s="146">
        <v>120</v>
      </c>
      <c r="B121" s="146" t="s">
        <v>229</v>
      </c>
      <c r="C121" s="146" t="s">
        <v>230</v>
      </c>
      <c r="D121" s="146" t="s">
        <v>537</v>
      </c>
      <c r="E121" s="254">
        <f>Таблица191012[[#This Row],[Грунт]]+Таблица191012[[#This Row],[Щебень]]+Таблица191012[[#This Row],[Асфальт]]+Таблица191012[[#This Row],[Бетон]]</f>
        <v>1.1000000000000001</v>
      </c>
      <c r="F121" s="311">
        <v>1.1000000000000001</v>
      </c>
      <c r="G121" s="140"/>
      <c r="H121" s="249"/>
      <c r="I121" s="139"/>
      <c r="J121" s="232"/>
      <c r="N121" s="234" t="b">
        <f>OR(Таблица191012[[#This Row],[Щебень]]&gt;0,Таблица191012[[#This Row],[Асфальт]]&gt;0,Таблица191012[[#This Row],[Бетон]]&gt;0)</f>
        <v>0</v>
      </c>
      <c r="Q121" s="234">
        <v>118</v>
      </c>
      <c r="S121" s="235"/>
      <c r="T121" s="235"/>
      <c r="U121" s="306"/>
      <c r="V121" s="306">
        <f>Таблица191012[[#This Row],[Грунт]]+Таблица191012[[#This Row],[Щебень]]+Таблица191012[[#This Row],[Асфальт]]+Таблица191012[[#This Row],[Бетон]]</f>
        <v>1.1000000000000001</v>
      </c>
      <c r="W121" s="306"/>
      <c r="X121" s="306"/>
      <c r="Y121" s="306"/>
      <c r="Z121" s="306"/>
      <c r="AG121" s="234">
        <v>13</v>
      </c>
    </row>
    <row r="122" spans="1:33" s="234" customFormat="1" ht="46.5" x14ac:dyDescent="0.35">
      <c r="A122" s="146">
        <v>121</v>
      </c>
      <c r="B122" s="146" t="s">
        <v>826</v>
      </c>
      <c r="C122" s="146" t="s">
        <v>825</v>
      </c>
      <c r="D122" s="146" t="s">
        <v>537</v>
      </c>
      <c r="E122" s="287">
        <v>0.45</v>
      </c>
      <c r="F122" s="313">
        <v>0.45</v>
      </c>
      <c r="G122" s="288"/>
      <c r="H122" s="289"/>
      <c r="I122" s="290"/>
      <c r="J122" s="232"/>
      <c r="K122" s="291"/>
      <c r="L122" s="291"/>
      <c r="M122" s="285"/>
      <c r="N122" s="292" t="b">
        <f>OR(Таблица191012[[#This Row],[Щебень]]&gt;0,Таблица191012[[#This Row],[Асфальт]]&gt;0,Таблица191012[[#This Row],[Бетон]]&gt;0)</f>
        <v>0</v>
      </c>
      <c r="O122" s="291"/>
      <c r="P122" s="291"/>
      <c r="Q122" s="291"/>
      <c r="R122" s="291"/>
      <c r="S122" s="291"/>
      <c r="T122" s="291"/>
      <c r="U122" s="306"/>
      <c r="V122" s="306">
        <f>Таблица191012[[#This Row],[Грунт]]+Таблица191012[[#This Row],[Щебень]]+Таблица191012[[#This Row],[Асфальт]]+Таблица191012[[#This Row],[Бетон]]</f>
        <v>0.45</v>
      </c>
      <c r="W122" s="306"/>
      <c r="X122" s="306"/>
      <c r="Y122" s="306"/>
      <c r="Z122" s="306"/>
      <c r="AG122" s="234">
        <v>14</v>
      </c>
    </row>
    <row r="123" spans="1:33" s="234" customFormat="1" ht="46.5" x14ac:dyDescent="0.35">
      <c r="A123" s="146">
        <v>122</v>
      </c>
      <c r="B123" s="146" t="s">
        <v>231</v>
      </c>
      <c r="C123" s="146" t="s">
        <v>232</v>
      </c>
      <c r="D123" s="146" t="s">
        <v>539</v>
      </c>
      <c r="E123" s="254">
        <f>Таблица191012[[#This Row],[Грунт]]+Таблица191012[[#This Row],[Щебень]]+Таблица191012[[#This Row],[Асфальт]]+Таблица191012[[#This Row],[Бетон]]</f>
        <v>1.5</v>
      </c>
      <c r="F123" s="311">
        <v>1</v>
      </c>
      <c r="G123" s="140">
        <v>0.5</v>
      </c>
      <c r="H123" s="249"/>
      <c r="I123" s="139"/>
      <c r="J123" s="232"/>
      <c r="N123" s="234" t="b">
        <f>OR(Таблица191012[[#This Row],[Щебень]]&gt;0,Таблица191012[[#This Row],[Асфальт]]&gt;0,Таблица191012[[#This Row],[Бетон]]&gt;0)</f>
        <v>1</v>
      </c>
      <c r="O123" s="234">
        <v>1</v>
      </c>
      <c r="Q123" s="234">
        <v>119</v>
      </c>
      <c r="S123" s="235"/>
      <c r="T123" s="235"/>
      <c r="U123" s="306"/>
      <c r="V123" s="306">
        <f>Таблица191012[[#This Row],[Грунт]]+Таблица191012[[#This Row],[Щебень]]+Таблица191012[[#This Row],[Асфальт]]+Таблица191012[[#This Row],[Бетон]]</f>
        <v>1.5</v>
      </c>
      <c r="W123" s="306"/>
      <c r="X123" s="306"/>
      <c r="Y123" s="306"/>
      <c r="Z123" s="306"/>
      <c r="AG123" s="234">
        <v>15</v>
      </c>
    </row>
    <row r="124" spans="1:33" s="234" customFormat="1" ht="46.5" x14ac:dyDescent="0.35">
      <c r="A124" s="146">
        <v>123</v>
      </c>
      <c r="B124" s="146" t="s">
        <v>233</v>
      </c>
      <c r="C124" s="146" t="s">
        <v>234</v>
      </c>
      <c r="D124" s="146" t="s">
        <v>539</v>
      </c>
      <c r="E124" s="254">
        <f>Таблица191012[[#This Row],[Грунт]]+Таблица191012[[#This Row],[Щебень]]+Таблица191012[[#This Row],[Асфальт]]+Таблица191012[[#This Row],[Бетон]]</f>
        <v>3.0859999999999999</v>
      </c>
      <c r="F124" s="311"/>
      <c r="G124" s="247"/>
      <c r="H124" s="251">
        <v>3.0859999999999999</v>
      </c>
      <c r="I124" s="139"/>
      <c r="J124" s="232"/>
      <c r="K124" s="233" t="s">
        <v>557</v>
      </c>
      <c r="N124" s="234" t="b">
        <f>OR(Таблица191012[[#This Row],[Щебень]]&gt;0,Таблица191012[[#This Row],[Асфальт]]&gt;0,Таблица191012[[#This Row],[Бетон]]&gt;0)</f>
        <v>1</v>
      </c>
      <c r="O124" s="234">
        <v>1</v>
      </c>
      <c r="Q124" s="234">
        <v>120</v>
      </c>
      <c r="S124" s="235"/>
      <c r="T124" s="235"/>
      <c r="U124" s="306"/>
      <c r="V124" s="306">
        <f>Таблица191012[[#This Row],[Грунт]]+Таблица191012[[#This Row],[Щебень]]+Таблица191012[[#This Row],[Асфальт]]+Таблица191012[[#This Row],[Бетон]]</f>
        <v>3.0859999999999999</v>
      </c>
      <c r="W124" s="306"/>
      <c r="X124" s="306"/>
      <c r="Y124" s="306"/>
      <c r="Z124" s="306"/>
      <c r="AG124" s="234">
        <v>16</v>
      </c>
    </row>
    <row r="125" spans="1:33" s="234" customFormat="1" ht="46.5" x14ac:dyDescent="0.35">
      <c r="A125" s="146">
        <v>124</v>
      </c>
      <c r="B125" s="146" t="s">
        <v>235</v>
      </c>
      <c r="C125" s="146" t="s">
        <v>236</v>
      </c>
      <c r="D125" s="146" t="s">
        <v>539</v>
      </c>
      <c r="E125" s="254">
        <f>Таблица191012[[#This Row],[Грунт]]+Таблица191012[[#This Row],[Щебень]]+Таблица191012[[#This Row],[Асфальт]]+Таблица191012[[#This Row],[Бетон]]</f>
        <v>0.5</v>
      </c>
      <c r="F125" s="311">
        <v>0.5</v>
      </c>
      <c r="G125" s="140"/>
      <c r="H125" s="249"/>
      <c r="I125" s="139"/>
      <c r="J125" s="232"/>
      <c r="N125" s="234" t="b">
        <f>OR(Таблица191012[[#This Row],[Щебень]]&gt;0,Таблица191012[[#This Row],[Асфальт]]&gt;0,Таблица191012[[#This Row],[Бетон]]&gt;0)</f>
        <v>0</v>
      </c>
      <c r="Q125" s="234">
        <v>121</v>
      </c>
      <c r="S125" s="235"/>
      <c r="T125" s="235"/>
      <c r="U125" s="306"/>
      <c r="V125" s="306">
        <f>Таблица191012[[#This Row],[Грунт]]+Таблица191012[[#This Row],[Щебень]]+Таблица191012[[#This Row],[Асфальт]]+Таблица191012[[#This Row],[Бетон]]</f>
        <v>0.5</v>
      </c>
      <c r="W125" s="306"/>
      <c r="X125" s="306"/>
      <c r="Y125" s="306"/>
      <c r="Z125" s="306"/>
      <c r="AG125" s="234">
        <v>17</v>
      </c>
    </row>
    <row r="126" spans="1:33" s="234" customFormat="1" ht="46.5" x14ac:dyDescent="0.35">
      <c r="A126" s="146">
        <v>125</v>
      </c>
      <c r="B126" s="146" t="s">
        <v>237</v>
      </c>
      <c r="C126" s="146" t="s">
        <v>238</v>
      </c>
      <c r="D126" s="146" t="s">
        <v>539</v>
      </c>
      <c r="E126" s="254">
        <f>Таблица191012[[#This Row],[Грунт]]+Таблица191012[[#This Row],[Щебень]]+Таблица191012[[#This Row],[Асфальт]]+Таблица191012[[#This Row],[Бетон]]</f>
        <v>1</v>
      </c>
      <c r="F126" s="311">
        <v>1</v>
      </c>
      <c r="G126" s="140"/>
      <c r="H126" s="249"/>
      <c r="I126" s="139"/>
      <c r="J126" s="232"/>
      <c r="N126" s="234" t="b">
        <f>OR(Таблица191012[[#This Row],[Щебень]]&gt;0,Таблица191012[[#This Row],[Асфальт]]&gt;0,Таблица191012[[#This Row],[Бетон]]&gt;0)</f>
        <v>0</v>
      </c>
      <c r="Q126" s="234">
        <v>122</v>
      </c>
      <c r="S126" s="235"/>
      <c r="T126" s="235"/>
      <c r="U126" s="306"/>
      <c r="V126" s="306">
        <f>Таблица191012[[#This Row],[Грунт]]+Таблица191012[[#This Row],[Щебень]]+Таблица191012[[#This Row],[Асфальт]]+Таблица191012[[#This Row],[Бетон]]</f>
        <v>1</v>
      </c>
      <c r="W126" s="306"/>
      <c r="X126" s="306"/>
      <c r="Y126" s="306"/>
      <c r="Z126" s="306"/>
      <c r="AG126" s="234">
        <v>18</v>
      </c>
    </row>
    <row r="127" spans="1:33" s="234" customFormat="1" ht="46.5" x14ac:dyDescent="0.35">
      <c r="A127" s="146">
        <v>126</v>
      </c>
      <c r="B127" s="146" t="s">
        <v>239</v>
      </c>
      <c r="C127" s="146" t="s">
        <v>240</v>
      </c>
      <c r="D127" s="146" t="s">
        <v>539</v>
      </c>
      <c r="E127" s="254">
        <f>Таблица191012[[#This Row],[Грунт]]+Таблица191012[[#This Row],[Щебень]]+Таблица191012[[#This Row],[Асфальт]]+Таблица191012[[#This Row],[Бетон]]</f>
        <v>1</v>
      </c>
      <c r="F127" s="311">
        <v>1</v>
      </c>
      <c r="G127" s="140"/>
      <c r="H127" s="249"/>
      <c r="I127" s="139"/>
      <c r="J127" s="232"/>
      <c r="N127" s="234" t="b">
        <f>OR(Таблица191012[[#This Row],[Щебень]]&gt;0,Таблица191012[[#This Row],[Асфальт]]&gt;0,Таблица191012[[#This Row],[Бетон]]&gt;0)</f>
        <v>0</v>
      </c>
      <c r="Q127" s="234">
        <v>123</v>
      </c>
      <c r="S127" s="235"/>
      <c r="T127" s="235"/>
      <c r="U127" s="306"/>
      <c r="V127" s="306">
        <f>Таблица191012[[#This Row],[Грунт]]+Таблица191012[[#This Row],[Щебень]]+Таблица191012[[#This Row],[Асфальт]]+Таблица191012[[#This Row],[Бетон]]</f>
        <v>1</v>
      </c>
      <c r="W127" s="306"/>
      <c r="X127" s="306"/>
      <c r="Y127" s="306"/>
      <c r="Z127" s="306"/>
      <c r="AG127" s="234">
        <v>19</v>
      </c>
    </row>
    <row r="128" spans="1:33" s="234" customFormat="1" ht="46.5" x14ac:dyDescent="0.35">
      <c r="A128" s="146">
        <v>127</v>
      </c>
      <c r="B128" s="146" t="s">
        <v>241</v>
      </c>
      <c r="C128" s="146" t="s">
        <v>242</v>
      </c>
      <c r="D128" s="146" t="s">
        <v>539</v>
      </c>
      <c r="E128" s="254">
        <f>Таблица191012[[#This Row],[Грунт]]+Таблица191012[[#This Row],[Щебень]]+Таблица191012[[#This Row],[Асфальт]]+Таблица191012[[#This Row],[Бетон]]</f>
        <v>0.8</v>
      </c>
      <c r="F128" s="311">
        <v>0.8</v>
      </c>
      <c r="G128" s="140"/>
      <c r="H128" s="249"/>
      <c r="I128" s="139"/>
      <c r="J128" s="232"/>
      <c r="N128" s="234" t="b">
        <f>OR(Таблица191012[[#This Row],[Щебень]]&gt;0,Таблица191012[[#This Row],[Асфальт]]&gt;0,Таблица191012[[#This Row],[Бетон]]&gt;0)</f>
        <v>0</v>
      </c>
      <c r="Q128" s="234">
        <v>124</v>
      </c>
      <c r="S128" s="235"/>
      <c r="T128" s="235"/>
      <c r="U128" s="306"/>
      <c r="V128" s="306">
        <f>Таблица191012[[#This Row],[Грунт]]+Таблица191012[[#This Row],[Щебень]]+Таблица191012[[#This Row],[Асфальт]]+Таблица191012[[#This Row],[Бетон]]</f>
        <v>0.8</v>
      </c>
      <c r="W128" s="306"/>
      <c r="X128" s="306"/>
      <c r="Y128" s="306"/>
      <c r="Z128" s="306"/>
      <c r="AG128" s="234">
        <v>20</v>
      </c>
    </row>
    <row r="129" spans="1:33" s="234" customFormat="1" ht="46.5" x14ac:dyDescent="0.35">
      <c r="A129" s="146">
        <v>128</v>
      </c>
      <c r="B129" s="146" t="s">
        <v>243</v>
      </c>
      <c r="C129" s="146" t="s">
        <v>244</v>
      </c>
      <c r="D129" s="146" t="s">
        <v>539</v>
      </c>
      <c r="E129" s="254">
        <f>Таблица191012[[#This Row],[Грунт]]+Таблица191012[[#This Row],[Щебень]]+Таблица191012[[#This Row],[Асфальт]]+Таблица191012[[#This Row],[Бетон]]</f>
        <v>1</v>
      </c>
      <c r="F129" s="311">
        <v>0.2</v>
      </c>
      <c r="G129" s="140">
        <v>0.8</v>
      </c>
      <c r="H129" s="249"/>
      <c r="I129" s="139"/>
      <c r="J129" s="232"/>
      <c r="N129" s="234" t="b">
        <f>OR(Таблица191012[[#This Row],[Щебень]]&gt;0,Таблица191012[[#This Row],[Асфальт]]&gt;0,Таблица191012[[#This Row],[Бетон]]&gt;0)</f>
        <v>1</v>
      </c>
      <c r="O129" s="234">
        <v>1</v>
      </c>
      <c r="Q129" s="234">
        <v>125</v>
      </c>
      <c r="S129" s="235"/>
      <c r="T129" s="235"/>
      <c r="U129" s="306"/>
      <c r="V129" s="306">
        <f>Таблица191012[[#This Row],[Грунт]]+Таблица191012[[#This Row],[Щебень]]+Таблица191012[[#This Row],[Асфальт]]+Таблица191012[[#This Row],[Бетон]]</f>
        <v>1</v>
      </c>
      <c r="W129" s="306"/>
      <c r="X129" s="306"/>
      <c r="Y129" s="306"/>
      <c r="Z129" s="306"/>
      <c r="AG129" s="234">
        <v>21</v>
      </c>
    </row>
    <row r="130" spans="1:33" s="234" customFormat="1" ht="46.5" x14ac:dyDescent="0.35">
      <c r="A130" s="146">
        <v>129</v>
      </c>
      <c r="B130" s="146" t="s">
        <v>245</v>
      </c>
      <c r="C130" s="146" t="s">
        <v>246</v>
      </c>
      <c r="D130" s="146" t="s">
        <v>539</v>
      </c>
      <c r="E130" s="254">
        <f>Таблица191012[[#This Row],[Грунт]]+Таблица191012[[#This Row],[Щебень]]+Таблица191012[[#This Row],[Асфальт]]+Таблица191012[[#This Row],[Бетон]]</f>
        <v>1.5</v>
      </c>
      <c r="F130" s="311">
        <v>1</v>
      </c>
      <c r="G130" s="140"/>
      <c r="H130" s="249">
        <v>0.5</v>
      </c>
      <c r="I130" s="139"/>
      <c r="J130" s="232"/>
      <c r="N130" s="234" t="b">
        <f>OR(Таблица191012[[#This Row],[Щебень]]&gt;0,Таблица191012[[#This Row],[Асфальт]]&gt;0,Таблица191012[[#This Row],[Бетон]]&gt;0)</f>
        <v>1</v>
      </c>
      <c r="O130" s="234">
        <v>1</v>
      </c>
      <c r="Q130" s="234">
        <v>126</v>
      </c>
      <c r="S130" s="235"/>
      <c r="T130" s="235"/>
      <c r="U130" s="306"/>
      <c r="V130" s="306">
        <f>Таблица191012[[#This Row],[Грунт]]+Таблица191012[[#This Row],[Щебень]]+Таблица191012[[#This Row],[Асфальт]]+Таблица191012[[#This Row],[Бетон]]</f>
        <v>1.5</v>
      </c>
      <c r="W130" s="306"/>
      <c r="X130" s="306"/>
      <c r="Y130" s="306"/>
      <c r="Z130" s="306"/>
      <c r="AG130" s="234">
        <v>22</v>
      </c>
    </row>
    <row r="131" spans="1:33" s="234" customFormat="1" ht="46.5" x14ac:dyDescent="0.35">
      <c r="A131" s="146">
        <v>130</v>
      </c>
      <c r="B131" s="146" t="s">
        <v>247</v>
      </c>
      <c r="C131" s="146" t="s">
        <v>248</v>
      </c>
      <c r="D131" s="146" t="s">
        <v>539</v>
      </c>
      <c r="E131" s="254">
        <f>Таблица191012[[#This Row],[Грунт]]+Таблица191012[[#This Row],[Щебень]]+Таблица191012[[#This Row],[Асфальт]]+Таблица191012[[#This Row],[Бетон]]</f>
        <v>0.8</v>
      </c>
      <c r="F131" s="311">
        <v>0.8</v>
      </c>
      <c r="G131" s="140"/>
      <c r="H131" s="249"/>
      <c r="I131" s="139"/>
      <c r="J131" s="232"/>
      <c r="N131" s="234" t="b">
        <f>OR(Таблица191012[[#This Row],[Щебень]]&gt;0,Таблица191012[[#This Row],[Асфальт]]&gt;0,Таблица191012[[#This Row],[Бетон]]&gt;0)</f>
        <v>0</v>
      </c>
      <c r="Q131" s="234">
        <v>127</v>
      </c>
      <c r="S131" s="235"/>
      <c r="T131" s="235"/>
      <c r="U131" s="306"/>
      <c r="V131" s="306">
        <f>Таблица191012[[#This Row],[Грунт]]+Таблица191012[[#This Row],[Щебень]]+Таблица191012[[#This Row],[Асфальт]]+Таблица191012[[#This Row],[Бетон]]</f>
        <v>0.8</v>
      </c>
      <c r="W131" s="306"/>
      <c r="X131" s="306"/>
      <c r="Y131" s="306"/>
      <c r="Z131" s="306"/>
      <c r="AG131" s="234">
        <v>23</v>
      </c>
    </row>
    <row r="132" spans="1:33" s="234" customFormat="1" ht="46.5" x14ac:dyDescent="0.35">
      <c r="A132" s="146">
        <v>131</v>
      </c>
      <c r="B132" s="146" t="s">
        <v>249</v>
      </c>
      <c r="C132" s="146" t="s">
        <v>250</v>
      </c>
      <c r="D132" s="146" t="s">
        <v>539</v>
      </c>
      <c r="E132" s="254">
        <f>Таблица191012[[#This Row],[Грунт]]+Таблица191012[[#This Row],[Щебень]]+Таблица191012[[#This Row],[Асфальт]]+Таблица191012[[#This Row],[Бетон]]</f>
        <v>1</v>
      </c>
      <c r="F132" s="311">
        <v>0.7</v>
      </c>
      <c r="G132" s="140">
        <v>0.3</v>
      </c>
      <c r="H132" s="249"/>
      <c r="I132" s="139"/>
      <c r="J132" s="232"/>
      <c r="N132" s="234" t="b">
        <f>OR(Таблица191012[[#This Row],[Щебень]]&gt;0,Таблица191012[[#This Row],[Асфальт]]&gt;0,Таблица191012[[#This Row],[Бетон]]&gt;0)</f>
        <v>1</v>
      </c>
      <c r="O132" s="234">
        <v>1</v>
      </c>
      <c r="Q132" s="234">
        <v>128</v>
      </c>
      <c r="S132" s="235"/>
      <c r="T132" s="235"/>
      <c r="U132" s="306"/>
      <c r="V132" s="306">
        <f>Таблица191012[[#This Row],[Грунт]]+Таблица191012[[#This Row],[Щебень]]+Таблица191012[[#This Row],[Асфальт]]+Таблица191012[[#This Row],[Бетон]]</f>
        <v>1</v>
      </c>
      <c r="W132" s="306"/>
      <c r="X132" s="306"/>
      <c r="Y132" s="306"/>
      <c r="Z132" s="306"/>
      <c r="AG132" s="234">
        <v>24</v>
      </c>
    </row>
    <row r="133" spans="1:33" s="234" customFormat="1" ht="46.5" x14ac:dyDescent="0.35">
      <c r="A133" s="146">
        <v>132</v>
      </c>
      <c r="B133" s="146" t="s">
        <v>251</v>
      </c>
      <c r="C133" s="146" t="s">
        <v>252</v>
      </c>
      <c r="D133" s="146" t="s">
        <v>539</v>
      </c>
      <c r="E133" s="254">
        <f>Таблица191012[[#This Row],[Грунт]]+Таблица191012[[#This Row],[Щебень]]+Таблица191012[[#This Row],[Асфальт]]+Таблица191012[[#This Row],[Бетон]]</f>
        <v>0.8</v>
      </c>
      <c r="F133" s="311">
        <v>0.8</v>
      </c>
      <c r="G133" s="140"/>
      <c r="H133" s="249"/>
      <c r="I133" s="139"/>
      <c r="J133" s="232"/>
      <c r="N133" s="234" t="b">
        <f>OR(Таблица191012[[#This Row],[Щебень]]&gt;0,Таблица191012[[#This Row],[Асфальт]]&gt;0,Таблица191012[[#This Row],[Бетон]]&gt;0)</f>
        <v>0</v>
      </c>
      <c r="Q133" s="234">
        <v>129</v>
      </c>
      <c r="S133" s="235"/>
      <c r="T133" s="235"/>
      <c r="U133" s="306"/>
      <c r="V133" s="306">
        <f>Таблица191012[[#This Row],[Грунт]]+Таблица191012[[#This Row],[Щебень]]+Таблица191012[[#This Row],[Асфальт]]+Таблица191012[[#This Row],[Бетон]]</f>
        <v>0.8</v>
      </c>
      <c r="W133" s="306"/>
      <c r="X133" s="306"/>
      <c r="Y133" s="306"/>
      <c r="Z133" s="306"/>
      <c r="AG133" s="234">
        <v>25</v>
      </c>
    </row>
    <row r="134" spans="1:33" s="234" customFormat="1" ht="46.5" x14ac:dyDescent="0.35">
      <c r="A134" s="146">
        <v>133</v>
      </c>
      <c r="B134" s="146" t="s">
        <v>253</v>
      </c>
      <c r="C134" s="146" t="s">
        <v>254</v>
      </c>
      <c r="D134" s="146" t="s">
        <v>539</v>
      </c>
      <c r="E134" s="254">
        <f>Таблица191012[[#This Row],[Грунт]]+Таблица191012[[#This Row],[Щебень]]+Таблица191012[[#This Row],[Асфальт]]+Таблица191012[[#This Row],[Бетон]]</f>
        <v>1.5</v>
      </c>
      <c r="F134" s="311">
        <v>1.5</v>
      </c>
      <c r="G134" s="140"/>
      <c r="H134" s="249"/>
      <c r="I134" s="139"/>
      <c r="J134" s="232"/>
      <c r="N134" s="234" t="b">
        <f>OR(Таблица191012[[#This Row],[Щебень]]&gt;0,Таблица191012[[#This Row],[Асфальт]]&gt;0,Таблица191012[[#This Row],[Бетон]]&gt;0)</f>
        <v>0</v>
      </c>
      <c r="Q134" s="234">
        <v>130</v>
      </c>
      <c r="S134" s="235"/>
      <c r="T134" s="235"/>
      <c r="U134" s="306"/>
      <c r="V134" s="306">
        <f>Таблица191012[[#This Row],[Грунт]]+Таблица191012[[#This Row],[Щебень]]+Таблица191012[[#This Row],[Асфальт]]+Таблица191012[[#This Row],[Бетон]]</f>
        <v>1.5</v>
      </c>
      <c r="W134" s="306"/>
      <c r="X134" s="306"/>
      <c r="Y134" s="306"/>
      <c r="Z134" s="306"/>
      <c r="AG134" s="234">
        <v>26</v>
      </c>
    </row>
    <row r="135" spans="1:33" s="234" customFormat="1" ht="46.5" x14ac:dyDescent="0.35">
      <c r="A135" s="146">
        <v>134</v>
      </c>
      <c r="B135" s="146" t="s">
        <v>255</v>
      </c>
      <c r="C135" s="146" t="s">
        <v>256</v>
      </c>
      <c r="D135" s="146" t="s">
        <v>539</v>
      </c>
      <c r="E135" s="254">
        <f>Таблица191012[[#This Row],[Грунт]]+Таблица191012[[#This Row],[Щебень]]+Таблица191012[[#This Row],[Асфальт]]+Таблица191012[[#This Row],[Бетон]]</f>
        <v>0.8</v>
      </c>
      <c r="F135" s="311">
        <v>0.8</v>
      </c>
      <c r="G135" s="140"/>
      <c r="H135" s="249"/>
      <c r="I135" s="139"/>
      <c r="J135" s="232"/>
      <c r="N135" s="234" t="b">
        <f>OR(Таблица191012[[#This Row],[Щебень]]&gt;0,Таблица191012[[#This Row],[Асфальт]]&gt;0,Таблица191012[[#This Row],[Бетон]]&gt;0)</f>
        <v>0</v>
      </c>
      <c r="Q135" s="234">
        <v>131</v>
      </c>
      <c r="S135" s="235"/>
      <c r="T135" s="235"/>
      <c r="U135" s="306"/>
      <c r="V135" s="306">
        <f>Таблица191012[[#This Row],[Грунт]]+Таблица191012[[#This Row],[Щебень]]+Таблица191012[[#This Row],[Асфальт]]+Таблица191012[[#This Row],[Бетон]]</f>
        <v>0.8</v>
      </c>
      <c r="W135" s="306"/>
      <c r="X135" s="306"/>
      <c r="Y135" s="306"/>
      <c r="Z135" s="306"/>
      <c r="AG135" s="234">
        <v>27</v>
      </c>
    </row>
    <row r="136" spans="1:33" s="234" customFormat="1" ht="46.5" x14ac:dyDescent="0.35">
      <c r="A136" s="146">
        <v>135</v>
      </c>
      <c r="B136" s="146" t="s">
        <v>257</v>
      </c>
      <c r="C136" s="146" t="s">
        <v>258</v>
      </c>
      <c r="D136" s="146" t="s">
        <v>539</v>
      </c>
      <c r="E136" s="254">
        <f>Таблица191012[[#This Row],[Грунт]]+Таблица191012[[#This Row],[Щебень]]+Таблица191012[[#This Row],[Асфальт]]+Таблица191012[[#This Row],[Бетон]]</f>
        <v>0.5</v>
      </c>
      <c r="F136" s="311">
        <v>0.5</v>
      </c>
      <c r="G136" s="140"/>
      <c r="H136" s="249"/>
      <c r="I136" s="139"/>
      <c r="J136" s="232"/>
      <c r="N136" s="234" t="b">
        <f>OR(Таблица191012[[#This Row],[Щебень]]&gt;0,Таблица191012[[#This Row],[Асфальт]]&gt;0,Таблица191012[[#This Row],[Бетон]]&gt;0)</f>
        <v>0</v>
      </c>
      <c r="Q136" s="234">
        <v>132</v>
      </c>
      <c r="S136" s="235"/>
      <c r="T136" s="235"/>
      <c r="U136" s="306"/>
      <c r="V136" s="306">
        <f>Таблица191012[[#This Row],[Грунт]]+Таблица191012[[#This Row],[Щебень]]+Таблица191012[[#This Row],[Асфальт]]+Таблица191012[[#This Row],[Бетон]]</f>
        <v>0.5</v>
      </c>
      <c r="W136" s="306"/>
      <c r="X136" s="306"/>
      <c r="Y136" s="306"/>
      <c r="Z136" s="306"/>
      <c r="AG136" s="234">
        <v>28</v>
      </c>
    </row>
    <row r="137" spans="1:33" s="234" customFormat="1" ht="46.5" x14ac:dyDescent="0.35">
      <c r="A137" s="146">
        <v>136</v>
      </c>
      <c r="B137" s="146" t="s">
        <v>259</v>
      </c>
      <c r="C137" s="146" t="s">
        <v>260</v>
      </c>
      <c r="D137" s="146" t="s">
        <v>539</v>
      </c>
      <c r="E137" s="254">
        <f>Таблица191012[[#This Row],[Грунт]]+Таблица191012[[#This Row],[Щебень]]+Таблица191012[[#This Row],[Асфальт]]+Таблица191012[[#This Row],[Бетон]]</f>
        <v>0.5</v>
      </c>
      <c r="F137" s="311">
        <v>0.5</v>
      </c>
      <c r="G137" s="140"/>
      <c r="H137" s="249"/>
      <c r="I137" s="139"/>
      <c r="J137" s="232"/>
      <c r="N137" s="234" t="b">
        <f>OR(Таблица191012[[#This Row],[Щебень]]&gt;0,Таблица191012[[#This Row],[Асфальт]]&gt;0,Таблица191012[[#This Row],[Бетон]]&gt;0)</f>
        <v>0</v>
      </c>
      <c r="Q137" s="234">
        <v>133</v>
      </c>
      <c r="S137" s="235"/>
      <c r="T137" s="235"/>
      <c r="U137" s="306"/>
      <c r="V137" s="306">
        <f>Таблица191012[[#This Row],[Грунт]]+Таблица191012[[#This Row],[Щебень]]+Таблица191012[[#This Row],[Асфальт]]+Таблица191012[[#This Row],[Бетон]]</f>
        <v>0.5</v>
      </c>
      <c r="W137" s="306"/>
      <c r="X137" s="306"/>
      <c r="Y137" s="306"/>
      <c r="Z137" s="306"/>
      <c r="AG137" s="234">
        <v>29</v>
      </c>
    </row>
    <row r="138" spans="1:33" s="234" customFormat="1" ht="46.5" x14ac:dyDescent="0.35">
      <c r="A138" s="146">
        <v>137</v>
      </c>
      <c r="B138" s="146" t="s">
        <v>261</v>
      </c>
      <c r="C138" s="146" t="s">
        <v>560</v>
      </c>
      <c r="D138" s="146" t="s">
        <v>539</v>
      </c>
      <c r="E138" s="254">
        <f>Таблица191012[[#This Row],[Грунт]]+Таблица191012[[#This Row],[Щебень]]+Таблица191012[[#This Row],[Асфальт]]+Таблица191012[[#This Row],[Бетон]]</f>
        <v>0.5</v>
      </c>
      <c r="F138" s="311">
        <v>0.5</v>
      </c>
      <c r="G138" s="140"/>
      <c r="H138" s="249"/>
      <c r="I138" s="139"/>
      <c r="J138" s="232"/>
      <c r="N138" s="234" t="b">
        <f>OR(Таблица191012[[#This Row],[Щебень]]&gt;0,Таблица191012[[#This Row],[Асфальт]]&gt;0,Таблица191012[[#This Row],[Бетон]]&gt;0)</f>
        <v>0</v>
      </c>
      <c r="Q138" s="234">
        <v>134</v>
      </c>
      <c r="S138" s="235"/>
      <c r="T138" s="235"/>
      <c r="U138" s="306"/>
      <c r="V138" s="306">
        <f>Таблица191012[[#This Row],[Грунт]]+Таблица191012[[#This Row],[Щебень]]+Таблица191012[[#This Row],[Асфальт]]+Таблица191012[[#This Row],[Бетон]]</f>
        <v>0.5</v>
      </c>
      <c r="W138" s="306"/>
      <c r="X138" s="306"/>
      <c r="Y138" s="306"/>
      <c r="Z138" s="306"/>
      <c r="AG138" s="234">
        <v>30</v>
      </c>
    </row>
    <row r="139" spans="1:33" s="234" customFormat="1" ht="46.5" x14ac:dyDescent="0.35">
      <c r="A139" s="146">
        <v>138</v>
      </c>
      <c r="B139" s="146" t="s">
        <v>262</v>
      </c>
      <c r="C139" s="146" t="s">
        <v>263</v>
      </c>
      <c r="D139" s="146" t="s">
        <v>539</v>
      </c>
      <c r="E139" s="254">
        <f>Таблица191012[[#This Row],[Грунт]]+Таблица191012[[#This Row],[Щебень]]+Таблица191012[[#This Row],[Асфальт]]+Таблица191012[[#This Row],[Бетон]]</f>
        <v>0.5</v>
      </c>
      <c r="F139" s="311">
        <v>0.5</v>
      </c>
      <c r="G139" s="140"/>
      <c r="H139" s="249"/>
      <c r="I139" s="139"/>
      <c r="J139" s="232"/>
      <c r="N139" s="234" t="b">
        <f>OR(Таблица191012[[#This Row],[Щебень]]&gt;0,Таблица191012[[#This Row],[Асфальт]]&gt;0,Таблица191012[[#This Row],[Бетон]]&gt;0)</f>
        <v>0</v>
      </c>
      <c r="Q139" s="234">
        <v>135</v>
      </c>
      <c r="S139" s="235"/>
      <c r="T139" s="235"/>
      <c r="U139" s="306"/>
      <c r="V139" s="306">
        <f>Таблица191012[[#This Row],[Грунт]]+Таблица191012[[#This Row],[Щебень]]+Таблица191012[[#This Row],[Асфальт]]+Таблица191012[[#This Row],[Бетон]]</f>
        <v>0.5</v>
      </c>
      <c r="W139" s="306"/>
      <c r="X139" s="306"/>
      <c r="Y139" s="306"/>
      <c r="Z139" s="306"/>
      <c r="AG139" s="234">
        <v>31</v>
      </c>
    </row>
    <row r="140" spans="1:33" s="234" customFormat="1" ht="46.5" x14ac:dyDescent="0.35">
      <c r="A140" s="146">
        <v>139</v>
      </c>
      <c r="B140" s="146" t="s">
        <v>264</v>
      </c>
      <c r="C140" s="146" t="s">
        <v>265</v>
      </c>
      <c r="D140" s="146" t="s">
        <v>539</v>
      </c>
      <c r="E140" s="254">
        <f>Таблица191012[[#This Row],[Грунт]]+Таблица191012[[#This Row],[Щебень]]+Таблица191012[[#This Row],[Асфальт]]+Таблица191012[[#This Row],[Бетон]]</f>
        <v>0.5</v>
      </c>
      <c r="F140" s="311">
        <v>0.5</v>
      </c>
      <c r="G140" s="140"/>
      <c r="H140" s="249"/>
      <c r="I140" s="139"/>
      <c r="J140" s="232"/>
      <c r="N140" s="234" t="b">
        <f>OR(Таблица191012[[#This Row],[Щебень]]&gt;0,Таблица191012[[#This Row],[Асфальт]]&gt;0,Таблица191012[[#This Row],[Бетон]]&gt;0)</f>
        <v>0</v>
      </c>
      <c r="Q140" s="234">
        <v>136</v>
      </c>
      <c r="S140" s="235"/>
      <c r="T140" s="235"/>
      <c r="U140" s="306"/>
      <c r="V140" s="306">
        <f>Таблица191012[[#This Row],[Грунт]]+Таблица191012[[#This Row],[Щебень]]+Таблица191012[[#This Row],[Асфальт]]+Таблица191012[[#This Row],[Бетон]]</f>
        <v>0.5</v>
      </c>
      <c r="W140" s="306"/>
      <c r="X140" s="306"/>
      <c r="Y140" s="306"/>
      <c r="Z140" s="306"/>
      <c r="AG140" s="234">
        <v>32</v>
      </c>
    </row>
    <row r="141" spans="1:33" s="234" customFormat="1" ht="46.5" x14ac:dyDescent="0.35">
      <c r="A141" s="146">
        <v>140</v>
      </c>
      <c r="B141" s="146" t="s">
        <v>266</v>
      </c>
      <c r="C141" s="146" t="s">
        <v>267</v>
      </c>
      <c r="D141" s="146" t="s">
        <v>540</v>
      </c>
      <c r="E141" s="254">
        <f>Таблица191012[[#This Row],[Грунт]]+Таблица191012[[#This Row],[Щебень]]+Таблица191012[[#This Row],[Асфальт]]+Таблица191012[[#This Row],[Бетон]]</f>
        <v>3.3</v>
      </c>
      <c r="F141" s="311"/>
      <c r="G141" s="140">
        <v>0.9</v>
      </c>
      <c r="H141" s="249">
        <v>2.4</v>
      </c>
      <c r="I141" s="139"/>
      <c r="J141" s="232"/>
      <c r="N141" s="234" t="b">
        <f>OR(Таблица191012[[#This Row],[Щебень]]&gt;0,Таблица191012[[#This Row],[Асфальт]]&gt;0,Таблица191012[[#This Row],[Бетон]]&gt;0)</f>
        <v>1</v>
      </c>
      <c r="O141" s="234">
        <v>1</v>
      </c>
      <c r="Q141" s="234">
        <v>137</v>
      </c>
      <c r="S141" s="235"/>
      <c r="T141" s="235"/>
      <c r="U141" s="306"/>
      <c r="V141" s="306">
        <f>Таблица191012[[#This Row],[Грунт]]+Таблица191012[[#This Row],[Щебень]]+Таблица191012[[#This Row],[Асфальт]]+Таблица191012[[#This Row],[Бетон]]</f>
        <v>3.3</v>
      </c>
      <c r="W141" s="306"/>
      <c r="X141" s="306"/>
      <c r="Y141" s="306"/>
      <c r="Z141" s="306"/>
      <c r="AG141" s="234">
        <v>33</v>
      </c>
    </row>
    <row r="142" spans="1:33" s="234" customFormat="1" ht="46.5" x14ac:dyDescent="0.35">
      <c r="A142" s="146">
        <v>141</v>
      </c>
      <c r="B142" s="146" t="s">
        <v>268</v>
      </c>
      <c r="C142" s="146" t="s">
        <v>269</v>
      </c>
      <c r="D142" s="146" t="s">
        <v>540</v>
      </c>
      <c r="E142" s="254">
        <f>Таблица191012[[#This Row],[Грунт]]+Таблица191012[[#This Row],[Щебень]]+Таблица191012[[#This Row],[Асфальт]]+Таблица191012[[#This Row],[Бетон]]</f>
        <v>1</v>
      </c>
      <c r="F142" s="311">
        <v>1</v>
      </c>
      <c r="G142" s="140"/>
      <c r="H142" s="249"/>
      <c r="I142" s="139"/>
      <c r="J142" s="232"/>
      <c r="N142" s="234" t="b">
        <f>OR(Таблица191012[[#This Row],[Щебень]]&gt;0,Таблица191012[[#This Row],[Асфальт]]&gt;0,Таблица191012[[#This Row],[Бетон]]&gt;0)</f>
        <v>0</v>
      </c>
      <c r="Q142" s="234">
        <v>138</v>
      </c>
      <c r="S142" s="235"/>
      <c r="T142" s="235"/>
      <c r="U142" s="306"/>
      <c r="V142" s="306">
        <f>Таблица191012[[#This Row],[Грунт]]+Таблица191012[[#This Row],[Щебень]]+Таблица191012[[#This Row],[Асфальт]]+Таблица191012[[#This Row],[Бетон]]</f>
        <v>1</v>
      </c>
      <c r="W142" s="306"/>
      <c r="X142" s="306"/>
      <c r="Y142" s="306"/>
      <c r="Z142" s="306"/>
      <c r="AG142" s="234">
        <v>34</v>
      </c>
    </row>
    <row r="143" spans="1:33" s="234" customFormat="1" ht="46.5" x14ac:dyDescent="0.35">
      <c r="A143" s="146">
        <v>142</v>
      </c>
      <c r="B143" s="146" t="s">
        <v>270</v>
      </c>
      <c r="C143" s="146" t="s">
        <v>271</v>
      </c>
      <c r="D143" s="306" t="s">
        <v>540</v>
      </c>
      <c r="E143" s="257">
        <v>1.1000000000000001</v>
      </c>
      <c r="F143" s="314">
        <v>1.1000000000000001</v>
      </c>
      <c r="G143" s="310"/>
      <c r="H143" s="317"/>
      <c r="I143" s="139"/>
      <c r="J143" s="232"/>
      <c r="N143" s="234" t="b">
        <f>OR(Таблица191012[[#This Row],[Щебень]]&gt;0,Таблица191012[[#This Row],[Асфальт]]&gt;0,Таблица191012[[#This Row],[Бетон]]&gt;0)</f>
        <v>0</v>
      </c>
      <c r="Q143" s="234">
        <v>24</v>
      </c>
      <c r="S143" s="235"/>
      <c r="T143" s="235"/>
      <c r="U143" s="306"/>
      <c r="V143" s="306">
        <f>Таблица191012[[#This Row],[Грунт]]+Таблица191012[[#This Row],[Щебень]]+Таблица191012[[#This Row],[Асфальт]]+Таблица191012[[#This Row],[Бетон]]</f>
        <v>1.1000000000000001</v>
      </c>
      <c r="W143" s="306"/>
      <c r="X143" s="306"/>
      <c r="Y143" s="306"/>
      <c r="Z143" s="306"/>
      <c r="AG143" s="234">
        <v>35</v>
      </c>
    </row>
    <row r="144" spans="1:33" s="234" customFormat="1" ht="46.5" x14ac:dyDescent="0.35">
      <c r="A144" s="146">
        <v>143</v>
      </c>
      <c r="B144" s="146" t="s">
        <v>272</v>
      </c>
      <c r="C144" s="146" t="s">
        <v>273</v>
      </c>
      <c r="D144" s="146" t="s">
        <v>540</v>
      </c>
      <c r="E144" s="254">
        <f>Таблица191012[[#This Row],[Грунт]]+Таблица191012[[#This Row],[Щебень]]+Таблица191012[[#This Row],[Асфальт]]+Таблица191012[[#This Row],[Бетон]]</f>
        <v>2.2000000000000002</v>
      </c>
      <c r="F144" s="311">
        <v>1.2</v>
      </c>
      <c r="G144" s="140">
        <v>1</v>
      </c>
      <c r="H144" s="249"/>
      <c r="I144" s="139"/>
      <c r="J144" s="232"/>
      <c r="K144" s="233" t="s">
        <v>557</v>
      </c>
      <c r="N144" s="234" t="b">
        <f>OR(Таблица191012[[#This Row],[Щебень]]&gt;0,Таблица191012[[#This Row],[Асфальт]]&gt;0,Таблица191012[[#This Row],[Бетон]]&gt;0)</f>
        <v>1</v>
      </c>
      <c r="O144" s="234">
        <v>1</v>
      </c>
      <c r="Q144" s="234">
        <v>140</v>
      </c>
      <c r="S144" s="235"/>
      <c r="T144" s="235"/>
      <c r="U144" s="306"/>
      <c r="V144" s="306">
        <f>Таблица191012[[#This Row],[Грунт]]+Таблица191012[[#This Row],[Щебень]]+Таблица191012[[#This Row],[Асфальт]]+Таблица191012[[#This Row],[Бетон]]</f>
        <v>2.2000000000000002</v>
      </c>
      <c r="W144" s="306"/>
      <c r="X144" s="306"/>
      <c r="Y144" s="306"/>
      <c r="Z144" s="306"/>
      <c r="AG144" s="234">
        <v>36</v>
      </c>
    </row>
    <row r="145" spans="1:33" s="234" customFormat="1" ht="46.5" x14ac:dyDescent="0.35">
      <c r="A145" s="146">
        <v>144</v>
      </c>
      <c r="B145" s="146" t="s">
        <v>274</v>
      </c>
      <c r="C145" s="146" t="s">
        <v>275</v>
      </c>
      <c r="D145" s="146" t="s">
        <v>540</v>
      </c>
      <c r="E145" s="254">
        <f>Таблица191012[[#This Row],[Грунт]]+Таблица191012[[#This Row],[Щебень]]+Таблица191012[[#This Row],[Асфальт]]+Таблица191012[[#This Row],[Бетон]]</f>
        <v>1.7</v>
      </c>
      <c r="F145" s="311">
        <v>1</v>
      </c>
      <c r="G145" s="140">
        <v>0.7</v>
      </c>
      <c r="H145" s="249"/>
      <c r="I145" s="139"/>
      <c r="J145" s="232"/>
      <c r="K145" s="233" t="s">
        <v>557</v>
      </c>
      <c r="N145" s="234" t="b">
        <f>OR(Таблица191012[[#This Row],[Щебень]]&gt;0,Таблица191012[[#This Row],[Асфальт]]&gt;0,Таблица191012[[#This Row],[Бетон]]&gt;0)</f>
        <v>1</v>
      </c>
      <c r="O145" s="234">
        <v>1</v>
      </c>
      <c r="Q145" s="234">
        <v>141</v>
      </c>
      <c r="S145" s="235"/>
      <c r="T145" s="235"/>
      <c r="U145" s="306"/>
      <c r="V145" s="306">
        <f>Таблица191012[[#This Row],[Грунт]]+Таблица191012[[#This Row],[Щебень]]+Таблица191012[[#This Row],[Асфальт]]+Таблица191012[[#This Row],[Бетон]]</f>
        <v>1.7</v>
      </c>
      <c r="W145" s="306"/>
      <c r="X145" s="306"/>
      <c r="Y145" s="306"/>
      <c r="Z145" s="306"/>
      <c r="AG145" s="234">
        <v>37</v>
      </c>
    </row>
    <row r="146" spans="1:33" s="234" customFormat="1" ht="46.5" x14ac:dyDescent="0.35">
      <c r="A146" s="146">
        <v>145</v>
      </c>
      <c r="B146" s="146" t="s">
        <v>276</v>
      </c>
      <c r="C146" s="146" t="s">
        <v>277</v>
      </c>
      <c r="D146" s="146" t="s">
        <v>540</v>
      </c>
      <c r="E146" s="254">
        <f>Таблица191012[[#This Row],[Грунт]]+Таблица191012[[#This Row],[Щебень]]+Таблица191012[[#This Row],[Асфальт]]+Таблица191012[[#This Row],[Бетон]]</f>
        <v>1.7</v>
      </c>
      <c r="F146" s="311">
        <v>1.7</v>
      </c>
      <c r="G146" s="140"/>
      <c r="H146" s="249"/>
      <c r="I146" s="139"/>
      <c r="J146" s="232"/>
      <c r="K146" s="233" t="s">
        <v>557</v>
      </c>
      <c r="N146" s="234" t="b">
        <f>OR(Таблица191012[[#This Row],[Щебень]]&gt;0,Таблица191012[[#This Row],[Асфальт]]&gt;0,Таблица191012[[#This Row],[Бетон]]&gt;0)</f>
        <v>0</v>
      </c>
      <c r="Q146" s="234">
        <v>142</v>
      </c>
      <c r="S146" s="235"/>
      <c r="T146" s="235"/>
      <c r="U146" s="306"/>
      <c r="V146" s="306">
        <f>Таблица191012[[#This Row],[Грунт]]+Таблица191012[[#This Row],[Щебень]]+Таблица191012[[#This Row],[Асфальт]]+Таблица191012[[#This Row],[Бетон]]</f>
        <v>1.7</v>
      </c>
      <c r="W146" s="306"/>
      <c r="X146" s="306"/>
      <c r="Y146" s="306"/>
      <c r="Z146" s="306"/>
      <c r="AG146" s="234">
        <v>38</v>
      </c>
    </row>
    <row r="147" spans="1:33" s="234" customFormat="1" ht="46.5" x14ac:dyDescent="0.35">
      <c r="A147" s="146">
        <v>146</v>
      </c>
      <c r="B147" s="146" t="s">
        <v>278</v>
      </c>
      <c r="C147" s="146" t="s">
        <v>279</v>
      </c>
      <c r="D147" s="146" t="s">
        <v>540</v>
      </c>
      <c r="E147" s="254">
        <f>Таблица191012[[#This Row],[Грунт]]+Таблица191012[[#This Row],[Щебень]]+Таблица191012[[#This Row],[Асфальт]]+Таблица191012[[#This Row],[Бетон]]</f>
        <v>1.4</v>
      </c>
      <c r="F147" s="311">
        <v>1.4</v>
      </c>
      <c r="G147" s="140"/>
      <c r="H147" s="249"/>
      <c r="I147" s="139"/>
      <c r="J147" s="232"/>
      <c r="K147" s="233" t="s">
        <v>557</v>
      </c>
      <c r="N147" s="234" t="b">
        <f>OR(Таблица191012[[#This Row],[Щебень]]&gt;0,Таблица191012[[#This Row],[Асфальт]]&gt;0,Таблица191012[[#This Row],[Бетон]]&gt;0)</f>
        <v>0</v>
      </c>
      <c r="Q147" s="234">
        <v>143</v>
      </c>
      <c r="S147" s="235"/>
      <c r="T147" s="235"/>
      <c r="U147" s="306"/>
      <c r="V147" s="306">
        <f>Таблица191012[[#This Row],[Грунт]]+Таблица191012[[#This Row],[Щебень]]+Таблица191012[[#This Row],[Асфальт]]+Таблица191012[[#This Row],[Бетон]]</f>
        <v>1.4</v>
      </c>
      <c r="W147" s="306"/>
      <c r="X147" s="306"/>
      <c r="Y147" s="306"/>
      <c r="Z147" s="306"/>
      <c r="AG147" s="234">
        <v>39</v>
      </c>
    </row>
    <row r="148" spans="1:33" s="234" customFormat="1" ht="46.5" x14ac:dyDescent="0.35">
      <c r="A148" s="146">
        <v>147</v>
      </c>
      <c r="B148" s="146" t="s">
        <v>280</v>
      </c>
      <c r="C148" s="146" t="s">
        <v>281</v>
      </c>
      <c r="D148" s="146" t="s">
        <v>571</v>
      </c>
      <c r="E148" s="257">
        <f>Таблица191012[[#This Row],[Грунт]]+Таблица191012[[#This Row],[Щебень]]+Таблица191012[[#This Row],[Асфальт]]+Таблица191012[[#This Row],[Бетон]]</f>
        <v>6.1000000000000005</v>
      </c>
      <c r="F148" s="311">
        <v>4.2</v>
      </c>
      <c r="G148" s="140">
        <v>0.4</v>
      </c>
      <c r="H148" s="249">
        <v>0.6</v>
      </c>
      <c r="I148" s="139">
        <v>0.9</v>
      </c>
      <c r="J148" s="232"/>
      <c r="K148" s="233" t="s">
        <v>557</v>
      </c>
      <c r="N148" s="234" t="b">
        <f>OR(Таблица191012[[#This Row],[Щебень]]&gt;0,Таблица191012[[#This Row],[Асфальт]]&gt;0,Таблица191012[[#This Row],[Бетон]]&gt;0)</f>
        <v>1</v>
      </c>
      <c r="O148" s="234">
        <v>1</v>
      </c>
      <c r="Q148" s="234">
        <v>144</v>
      </c>
      <c r="S148" s="235"/>
      <c r="T148" s="235"/>
      <c r="U148" s="306"/>
      <c r="V148" s="306">
        <f>Таблица191012[[#This Row],[Грунт]]+Таблица191012[[#This Row],[Щебень]]+Таблица191012[[#This Row],[Асфальт]]+Таблица191012[[#This Row],[Бетон]]</f>
        <v>6.1000000000000005</v>
      </c>
      <c r="W148" s="306"/>
      <c r="X148" s="306"/>
      <c r="Y148" s="306"/>
      <c r="Z148" s="306"/>
      <c r="AG148" s="234">
        <v>40</v>
      </c>
    </row>
    <row r="149" spans="1:33" s="234" customFormat="1" ht="46.5" x14ac:dyDescent="0.35">
      <c r="A149" s="146">
        <v>148</v>
      </c>
      <c r="B149" s="146" t="s">
        <v>282</v>
      </c>
      <c r="C149" s="146" t="s">
        <v>283</v>
      </c>
      <c r="D149" s="146" t="s">
        <v>571</v>
      </c>
      <c r="E149" s="257">
        <f>Таблица191012[[#This Row],[Грунт]]+Таблица191012[[#This Row],[Щебень]]+Таблица191012[[#This Row],[Асфальт]]+Таблица191012[[#This Row],[Бетон]]</f>
        <v>1.5</v>
      </c>
      <c r="F149" s="311">
        <v>1.5</v>
      </c>
      <c r="G149" s="140"/>
      <c r="H149" s="249"/>
      <c r="I149" s="139"/>
      <c r="J149" s="232"/>
      <c r="N149" s="234" t="b">
        <f>OR(Таблица191012[[#This Row],[Щебень]]&gt;0,Таблица191012[[#This Row],[Асфальт]]&gt;0,Таблица191012[[#This Row],[Бетон]]&gt;0)</f>
        <v>0</v>
      </c>
      <c r="Q149" s="234">
        <v>145</v>
      </c>
      <c r="S149" s="235"/>
      <c r="T149" s="235"/>
      <c r="U149" s="306"/>
      <c r="V149" s="306">
        <f>Таблица191012[[#This Row],[Грунт]]+Таблица191012[[#This Row],[Щебень]]+Таблица191012[[#This Row],[Асфальт]]+Таблица191012[[#This Row],[Бетон]]</f>
        <v>1.5</v>
      </c>
      <c r="W149" s="306"/>
      <c r="X149" s="306"/>
      <c r="Y149" s="306"/>
      <c r="Z149" s="306"/>
      <c r="AG149" s="234">
        <v>41</v>
      </c>
    </row>
    <row r="150" spans="1:33" s="234" customFormat="1" ht="46.5" x14ac:dyDescent="0.35">
      <c r="A150" s="146">
        <v>149</v>
      </c>
      <c r="B150" s="146" t="s">
        <v>284</v>
      </c>
      <c r="C150" s="146" t="s">
        <v>285</v>
      </c>
      <c r="D150" s="146" t="s">
        <v>571</v>
      </c>
      <c r="E150" s="257">
        <f>Таблица191012[[#This Row],[Грунт]]+Таблица191012[[#This Row],[Щебень]]+Таблица191012[[#This Row],[Асфальт]]+Таблица191012[[#This Row],[Бетон]]</f>
        <v>1</v>
      </c>
      <c r="F150" s="311">
        <v>1</v>
      </c>
      <c r="G150" s="140"/>
      <c r="H150" s="249"/>
      <c r="I150" s="139"/>
      <c r="J150" s="232"/>
      <c r="N150" s="234" t="b">
        <f>OR(Таблица191012[[#This Row],[Щебень]]&gt;0,Таблица191012[[#This Row],[Асфальт]]&gt;0,Таблица191012[[#This Row],[Бетон]]&gt;0)</f>
        <v>0</v>
      </c>
      <c r="Q150" s="234">
        <v>146</v>
      </c>
      <c r="S150" s="235"/>
      <c r="T150" s="235"/>
      <c r="U150" s="306"/>
      <c r="V150" s="306">
        <f>Таблица191012[[#This Row],[Грунт]]+Таблица191012[[#This Row],[Щебень]]+Таблица191012[[#This Row],[Асфальт]]+Таблица191012[[#This Row],[Бетон]]</f>
        <v>1</v>
      </c>
      <c r="W150" s="306"/>
      <c r="X150" s="306"/>
      <c r="Y150" s="306"/>
      <c r="Z150" s="306"/>
      <c r="AG150" s="234">
        <v>42</v>
      </c>
    </row>
    <row r="151" spans="1:33" s="234" customFormat="1" ht="46.5" x14ac:dyDescent="0.35">
      <c r="A151" s="146">
        <v>150</v>
      </c>
      <c r="B151" s="146" t="s">
        <v>286</v>
      </c>
      <c r="C151" s="146" t="s">
        <v>287</v>
      </c>
      <c r="D151" s="146" t="s">
        <v>571</v>
      </c>
      <c r="E151" s="257">
        <f>Таблица191012[[#This Row],[Грунт]]+Таблица191012[[#This Row],[Щебень]]+Таблица191012[[#This Row],[Асфальт]]+Таблица191012[[#This Row],[Бетон]]</f>
        <v>0.8</v>
      </c>
      <c r="F151" s="311">
        <v>0.8</v>
      </c>
      <c r="G151" s="140"/>
      <c r="H151" s="249"/>
      <c r="I151" s="139"/>
      <c r="J151" s="232"/>
      <c r="N151" s="234" t="b">
        <f>OR(Таблица191012[[#This Row],[Щебень]]&gt;0,Таблица191012[[#This Row],[Асфальт]]&gt;0,Таблица191012[[#This Row],[Бетон]]&gt;0)</f>
        <v>0</v>
      </c>
      <c r="Q151" s="234">
        <v>147</v>
      </c>
      <c r="S151" s="235"/>
      <c r="T151" s="235"/>
      <c r="U151" s="306"/>
      <c r="V151" s="306">
        <f>Таблица191012[[#This Row],[Грунт]]+Таблица191012[[#This Row],[Щебень]]+Таблица191012[[#This Row],[Асфальт]]+Таблица191012[[#This Row],[Бетон]]</f>
        <v>0.8</v>
      </c>
      <c r="W151" s="306"/>
      <c r="X151" s="306"/>
      <c r="Y151" s="306"/>
      <c r="Z151" s="306"/>
      <c r="AG151" s="234">
        <v>43</v>
      </c>
    </row>
    <row r="152" spans="1:33" s="234" customFormat="1" ht="46.5" x14ac:dyDescent="0.35">
      <c r="A152" s="146">
        <v>151</v>
      </c>
      <c r="B152" s="146" t="s">
        <v>288</v>
      </c>
      <c r="C152" s="146" t="s">
        <v>289</v>
      </c>
      <c r="D152" s="146" t="s">
        <v>571</v>
      </c>
      <c r="E152" s="257">
        <f>Таблица191012[[#This Row],[Грунт]]+Таблица191012[[#This Row],[Щебень]]+Таблица191012[[#This Row],[Асфальт]]+Таблица191012[[#This Row],[Бетон]]</f>
        <v>0.5</v>
      </c>
      <c r="F152" s="311">
        <v>0.5</v>
      </c>
      <c r="G152" s="140"/>
      <c r="H152" s="249"/>
      <c r="I152" s="139"/>
      <c r="J152" s="232"/>
      <c r="N152" s="234" t="b">
        <f>OR(Таблица191012[[#This Row],[Щебень]]&gt;0,Таблица191012[[#This Row],[Асфальт]]&gt;0,Таблица191012[[#This Row],[Бетон]]&gt;0)</f>
        <v>0</v>
      </c>
      <c r="Q152" s="234">
        <v>148</v>
      </c>
      <c r="S152" s="235"/>
      <c r="T152" s="235"/>
      <c r="U152" s="306"/>
      <c r="V152" s="306">
        <f>Таблица191012[[#This Row],[Грунт]]+Таблица191012[[#This Row],[Щебень]]+Таблица191012[[#This Row],[Асфальт]]+Таблица191012[[#This Row],[Бетон]]</f>
        <v>0.5</v>
      </c>
      <c r="W152" s="306"/>
      <c r="X152" s="306"/>
      <c r="Y152" s="306"/>
      <c r="Z152" s="306"/>
      <c r="AG152" s="234">
        <v>44</v>
      </c>
    </row>
    <row r="153" spans="1:33" s="234" customFormat="1" ht="46.5" x14ac:dyDescent="0.35">
      <c r="A153" s="146">
        <v>152</v>
      </c>
      <c r="B153" s="146" t="s">
        <v>290</v>
      </c>
      <c r="C153" s="146" t="s">
        <v>291</v>
      </c>
      <c r="D153" s="146" t="s">
        <v>571</v>
      </c>
      <c r="E153" s="257">
        <f>Таблица191012[[#This Row],[Грунт]]+Таблица191012[[#This Row],[Щебень]]+Таблица191012[[#This Row],[Асфальт]]+Таблица191012[[#This Row],[Бетон]]</f>
        <v>0.7</v>
      </c>
      <c r="F153" s="311">
        <v>0.7</v>
      </c>
      <c r="G153" s="140"/>
      <c r="H153" s="249"/>
      <c r="I153" s="139"/>
      <c r="J153" s="232"/>
      <c r="N153" s="234" t="b">
        <f>OR(Таблица191012[[#This Row],[Щебень]]&gt;0,Таблица191012[[#This Row],[Асфальт]]&gt;0,Таблица191012[[#This Row],[Бетон]]&gt;0)</f>
        <v>0</v>
      </c>
      <c r="Q153" s="234">
        <v>149</v>
      </c>
      <c r="S153" s="235"/>
      <c r="T153" s="235"/>
      <c r="U153" s="306"/>
      <c r="V153" s="306">
        <f>Таблица191012[[#This Row],[Грунт]]+Таблица191012[[#This Row],[Щебень]]+Таблица191012[[#This Row],[Асфальт]]+Таблица191012[[#This Row],[Бетон]]</f>
        <v>0.7</v>
      </c>
      <c r="W153" s="306"/>
      <c r="X153" s="306"/>
      <c r="Y153" s="306"/>
      <c r="Z153" s="306"/>
      <c r="AG153" s="234">
        <v>45</v>
      </c>
    </row>
    <row r="154" spans="1:33" s="234" customFormat="1" ht="46.5" x14ac:dyDescent="0.35">
      <c r="A154" s="146">
        <v>153</v>
      </c>
      <c r="B154" s="146" t="s">
        <v>292</v>
      </c>
      <c r="C154" s="146" t="s">
        <v>293</v>
      </c>
      <c r="D154" s="146" t="s">
        <v>571</v>
      </c>
      <c r="E154" s="257">
        <f>Таблица191012[[#This Row],[Грунт]]+Таблица191012[[#This Row],[Щебень]]+Таблица191012[[#This Row],[Асфальт]]+Таблица191012[[#This Row],[Бетон]]</f>
        <v>1</v>
      </c>
      <c r="F154" s="311">
        <v>1</v>
      </c>
      <c r="G154" s="140"/>
      <c r="H154" s="249"/>
      <c r="I154" s="139"/>
      <c r="J154" s="232"/>
      <c r="N154" s="234" t="b">
        <f>OR(Таблица191012[[#This Row],[Щебень]]&gt;0,Таблица191012[[#This Row],[Асфальт]]&gt;0,Таблица191012[[#This Row],[Бетон]]&gt;0)</f>
        <v>0</v>
      </c>
      <c r="Q154" s="234">
        <v>150</v>
      </c>
      <c r="S154" s="235"/>
      <c r="T154" s="235"/>
      <c r="U154" s="306"/>
      <c r="V154" s="306">
        <f>Таблица191012[[#This Row],[Грунт]]+Таблица191012[[#This Row],[Щебень]]+Таблица191012[[#This Row],[Асфальт]]+Таблица191012[[#This Row],[Бетон]]</f>
        <v>1</v>
      </c>
      <c r="W154" s="306"/>
      <c r="X154" s="306"/>
      <c r="Y154" s="306"/>
      <c r="Z154" s="306"/>
      <c r="AG154" s="234">
        <v>46</v>
      </c>
    </row>
    <row r="155" spans="1:33" s="234" customFormat="1" ht="46.5" x14ac:dyDescent="0.35">
      <c r="A155" s="146">
        <v>154</v>
      </c>
      <c r="B155" s="146" t="s">
        <v>294</v>
      </c>
      <c r="C155" s="146" t="s">
        <v>295</v>
      </c>
      <c r="D155" s="146" t="s">
        <v>571</v>
      </c>
      <c r="E155" s="257">
        <f>Таблица191012[[#This Row],[Грунт]]+Таблица191012[[#This Row],[Щебень]]+Таблица191012[[#This Row],[Асфальт]]+Таблица191012[[#This Row],[Бетон]]</f>
        <v>1.5</v>
      </c>
      <c r="F155" s="311">
        <v>1.5</v>
      </c>
      <c r="G155" s="140"/>
      <c r="H155" s="249"/>
      <c r="I155" s="139"/>
      <c r="J155" s="232"/>
      <c r="N155" s="234" t="b">
        <f>OR(Таблица191012[[#This Row],[Щебень]]&gt;0,Таблица191012[[#This Row],[Асфальт]]&gt;0,Таблица191012[[#This Row],[Бетон]]&gt;0)</f>
        <v>0</v>
      </c>
      <c r="Q155" s="234">
        <v>151</v>
      </c>
      <c r="S155" s="235"/>
      <c r="T155" s="235"/>
      <c r="U155" s="306"/>
      <c r="V155" s="306">
        <f>Таблица191012[[#This Row],[Грунт]]+Таблица191012[[#This Row],[Щебень]]+Таблица191012[[#This Row],[Асфальт]]+Таблица191012[[#This Row],[Бетон]]</f>
        <v>1.5</v>
      </c>
      <c r="W155" s="306"/>
      <c r="X155" s="306"/>
      <c r="Y155" s="306"/>
      <c r="Z155" s="306"/>
      <c r="AG155" s="234">
        <v>47</v>
      </c>
    </row>
    <row r="156" spans="1:33" s="234" customFormat="1" ht="46.5" x14ac:dyDescent="0.35">
      <c r="A156" s="146">
        <v>155</v>
      </c>
      <c r="B156" s="146" t="s">
        <v>296</v>
      </c>
      <c r="C156" s="146" t="s">
        <v>297</v>
      </c>
      <c r="D156" s="146" t="s">
        <v>571</v>
      </c>
      <c r="E156" s="257">
        <f>Таблица191012[[#This Row],[Грунт]]+Таблица191012[[#This Row],[Щебень]]+Таблица191012[[#This Row],[Асфальт]]+Таблица191012[[#This Row],[Бетон]]</f>
        <v>0.8</v>
      </c>
      <c r="F156" s="311">
        <v>0.8</v>
      </c>
      <c r="G156" s="140"/>
      <c r="H156" s="249"/>
      <c r="I156" s="139"/>
      <c r="J156" s="232"/>
      <c r="N156" s="234" t="b">
        <f>OR(Таблица191012[[#This Row],[Щебень]]&gt;0,Таблица191012[[#This Row],[Асфальт]]&gt;0,Таблица191012[[#This Row],[Бетон]]&gt;0)</f>
        <v>0</v>
      </c>
      <c r="Q156" s="234">
        <v>152</v>
      </c>
      <c r="S156" s="235"/>
      <c r="T156" s="235"/>
      <c r="U156" s="306"/>
      <c r="V156" s="306">
        <f>Таблица191012[[#This Row],[Грунт]]+Таблица191012[[#This Row],[Щебень]]+Таблица191012[[#This Row],[Асфальт]]+Таблица191012[[#This Row],[Бетон]]</f>
        <v>0.8</v>
      </c>
      <c r="W156" s="306"/>
      <c r="X156" s="306"/>
      <c r="Y156" s="306"/>
      <c r="Z156" s="306"/>
      <c r="AG156" s="234">
        <v>48</v>
      </c>
    </row>
    <row r="157" spans="1:33" s="234" customFormat="1" ht="46.5" x14ac:dyDescent="0.35">
      <c r="A157" s="146">
        <v>156</v>
      </c>
      <c r="B157" s="146" t="s">
        <v>298</v>
      </c>
      <c r="C157" s="146" t="s">
        <v>299</v>
      </c>
      <c r="D157" s="146" t="s">
        <v>571</v>
      </c>
      <c r="E157" s="257">
        <f>Таблица191012[[#This Row],[Грунт]]+Таблица191012[[#This Row],[Щебень]]+Таблица191012[[#This Row],[Асфальт]]+Таблица191012[[#This Row],[Бетон]]</f>
        <v>0.5</v>
      </c>
      <c r="F157" s="311">
        <v>0.5</v>
      </c>
      <c r="G157" s="140"/>
      <c r="H157" s="249"/>
      <c r="I157" s="139"/>
      <c r="J157" s="232"/>
      <c r="N157" s="234" t="b">
        <f>OR(Таблица191012[[#This Row],[Щебень]]&gt;0,Таблица191012[[#This Row],[Асфальт]]&gt;0,Таблица191012[[#This Row],[Бетон]]&gt;0)</f>
        <v>0</v>
      </c>
      <c r="Q157" s="234">
        <v>153</v>
      </c>
      <c r="S157" s="235"/>
      <c r="T157" s="235"/>
      <c r="U157" s="306"/>
      <c r="V157" s="306">
        <f>Таблица191012[[#This Row],[Грунт]]+Таблица191012[[#This Row],[Щебень]]+Таблица191012[[#This Row],[Асфальт]]+Таблица191012[[#This Row],[Бетон]]</f>
        <v>0.5</v>
      </c>
      <c r="W157" s="306"/>
      <c r="X157" s="306"/>
      <c r="Y157" s="306"/>
      <c r="Z157" s="306"/>
      <c r="AG157" s="234">
        <v>49</v>
      </c>
    </row>
    <row r="158" spans="1:33" s="234" customFormat="1" ht="46.5" x14ac:dyDescent="0.35">
      <c r="A158" s="146">
        <v>157</v>
      </c>
      <c r="B158" s="146" t="s">
        <v>300</v>
      </c>
      <c r="C158" s="146" t="s">
        <v>301</v>
      </c>
      <c r="D158" s="146" t="s">
        <v>571</v>
      </c>
      <c r="E158" s="257">
        <f>Таблица191012[[#This Row],[Грунт]]+Таблица191012[[#This Row],[Щебень]]+Таблица191012[[#This Row],[Асфальт]]+Таблица191012[[#This Row],[Бетон]]</f>
        <v>1.5</v>
      </c>
      <c r="F158" s="311">
        <v>1.5</v>
      </c>
      <c r="G158" s="140"/>
      <c r="H158" s="249"/>
      <c r="I158" s="139"/>
      <c r="J158" s="232"/>
      <c r="N158" s="234" t="b">
        <f>OR(Таблица191012[[#This Row],[Щебень]]&gt;0,Таблица191012[[#This Row],[Асфальт]]&gt;0,Таблица191012[[#This Row],[Бетон]]&gt;0)</f>
        <v>0</v>
      </c>
      <c r="Q158" s="234">
        <v>154</v>
      </c>
      <c r="S158" s="235"/>
      <c r="T158" s="235"/>
      <c r="U158" s="306"/>
      <c r="V158" s="306">
        <f>Таблица191012[[#This Row],[Грунт]]+Таблица191012[[#This Row],[Щебень]]+Таблица191012[[#This Row],[Асфальт]]+Таблица191012[[#This Row],[Бетон]]</f>
        <v>1.5</v>
      </c>
      <c r="W158" s="306"/>
      <c r="X158" s="306"/>
      <c r="Y158" s="306"/>
      <c r="Z158" s="306"/>
      <c r="AG158" s="234">
        <v>50</v>
      </c>
    </row>
    <row r="159" spans="1:33" s="234" customFormat="1" ht="46.5" x14ac:dyDescent="0.35">
      <c r="A159" s="146">
        <v>158</v>
      </c>
      <c r="B159" s="146" t="s">
        <v>302</v>
      </c>
      <c r="C159" s="146" t="s">
        <v>303</v>
      </c>
      <c r="D159" s="146" t="s">
        <v>571</v>
      </c>
      <c r="E159" s="257">
        <f>Таблица191012[[#This Row],[Грунт]]+Таблица191012[[#This Row],[Щебень]]+Таблица191012[[#This Row],[Асфальт]]+Таблица191012[[#This Row],[Бетон]]</f>
        <v>0.7</v>
      </c>
      <c r="F159" s="311">
        <v>0.7</v>
      </c>
      <c r="G159" s="140"/>
      <c r="H159" s="249"/>
      <c r="I159" s="139"/>
      <c r="J159" s="232"/>
      <c r="N159" s="234" t="b">
        <f>OR(Таблица191012[[#This Row],[Щебень]]&gt;0,Таблица191012[[#This Row],[Асфальт]]&gt;0,Таблица191012[[#This Row],[Бетон]]&gt;0)</f>
        <v>0</v>
      </c>
      <c r="Q159" s="234">
        <v>155</v>
      </c>
      <c r="S159" s="235"/>
      <c r="T159" s="235"/>
      <c r="U159" s="306"/>
      <c r="V159" s="306">
        <f>Таблица191012[[#This Row],[Грунт]]+Таблица191012[[#This Row],[Щебень]]+Таблица191012[[#This Row],[Асфальт]]+Таблица191012[[#This Row],[Бетон]]</f>
        <v>0.7</v>
      </c>
      <c r="W159" s="306"/>
      <c r="X159" s="306"/>
      <c r="Y159" s="306"/>
      <c r="Z159" s="306"/>
      <c r="AG159" s="234">
        <v>51</v>
      </c>
    </row>
    <row r="160" spans="1:33" s="234" customFormat="1" ht="46.5" x14ac:dyDescent="0.35">
      <c r="A160" s="146">
        <v>159</v>
      </c>
      <c r="B160" s="146" t="s">
        <v>304</v>
      </c>
      <c r="C160" s="146" t="s">
        <v>305</v>
      </c>
      <c r="D160" s="146" t="s">
        <v>571</v>
      </c>
      <c r="E160" s="257">
        <f>Таблица191012[[#This Row],[Грунт]]+Таблица191012[[#This Row],[Щебень]]+Таблица191012[[#This Row],[Асфальт]]+Таблица191012[[#This Row],[Бетон]]</f>
        <v>0.5</v>
      </c>
      <c r="F160" s="311">
        <v>0.5</v>
      </c>
      <c r="G160" s="140"/>
      <c r="H160" s="249"/>
      <c r="I160" s="139"/>
      <c r="J160" s="232"/>
      <c r="N160" s="234" t="b">
        <f>OR(Таблица191012[[#This Row],[Щебень]]&gt;0,Таблица191012[[#This Row],[Асфальт]]&gt;0,Таблица191012[[#This Row],[Бетон]]&gt;0)</f>
        <v>0</v>
      </c>
      <c r="Q160" s="234">
        <v>156</v>
      </c>
      <c r="S160" s="235"/>
      <c r="T160" s="235"/>
      <c r="U160" s="306"/>
      <c r="V160" s="306">
        <f>Таблица191012[[#This Row],[Грунт]]+Таблица191012[[#This Row],[Щебень]]+Таблица191012[[#This Row],[Асфальт]]+Таблица191012[[#This Row],[Бетон]]</f>
        <v>0.5</v>
      </c>
      <c r="W160" s="306"/>
      <c r="X160" s="306"/>
      <c r="Y160" s="306"/>
      <c r="Z160" s="306"/>
      <c r="AG160" s="234">
        <v>52</v>
      </c>
    </row>
    <row r="161" spans="1:33" s="234" customFormat="1" ht="46.5" x14ac:dyDescent="0.35">
      <c r="A161" s="146">
        <v>160</v>
      </c>
      <c r="B161" s="146" t="s">
        <v>306</v>
      </c>
      <c r="C161" s="146" t="s">
        <v>307</v>
      </c>
      <c r="D161" s="146" t="s">
        <v>571</v>
      </c>
      <c r="E161" s="257">
        <f>Таблица191012[[#This Row],[Грунт]]+Таблица191012[[#This Row],[Щебень]]+Таблица191012[[#This Row],[Асфальт]]+Таблица191012[[#This Row],[Бетон]]</f>
        <v>0.4</v>
      </c>
      <c r="F161" s="311">
        <v>0.4</v>
      </c>
      <c r="G161" s="140"/>
      <c r="H161" s="249"/>
      <c r="I161" s="139"/>
      <c r="J161" s="232"/>
      <c r="N161" s="234" t="b">
        <f>OR(Таблица191012[[#This Row],[Щебень]]&gt;0,Таблица191012[[#This Row],[Асфальт]]&gt;0,Таблица191012[[#This Row],[Бетон]]&gt;0)</f>
        <v>0</v>
      </c>
      <c r="Q161" s="234">
        <v>157</v>
      </c>
      <c r="S161" s="235"/>
      <c r="T161" s="235"/>
      <c r="U161" s="306"/>
      <c r="V161" s="306">
        <f>Таблица191012[[#This Row],[Грунт]]+Таблица191012[[#This Row],[Щебень]]+Таблица191012[[#This Row],[Асфальт]]+Таблица191012[[#This Row],[Бетон]]</f>
        <v>0.4</v>
      </c>
      <c r="W161" s="306"/>
      <c r="X161" s="306"/>
      <c r="Y161" s="306"/>
      <c r="Z161" s="306"/>
      <c r="AG161" s="234">
        <v>53</v>
      </c>
    </row>
    <row r="162" spans="1:33" s="234" customFormat="1" ht="46.5" x14ac:dyDescent="0.35">
      <c r="A162" s="146">
        <v>161</v>
      </c>
      <c r="B162" s="146" t="s">
        <v>308</v>
      </c>
      <c r="C162" s="146" t="s">
        <v>309</v>
      </c>
      <c r="D162" s="146" t="s">
        <v>542</v>
      </c>
      <c r="E162" s="254">
        <f>Таблица191012[[#This Row],[Грунт]]+Таблица191012[[#This Row],[Щебень]]+Таблица191012[[#This Row],[Асфальт]]+Таблица191012[[#This Row],[Бетон]]</f>
        <v>0.65</v>
      </c>
      <c r="F162" s="311"/>
      <c r="G162" s="140"/>
      <c r="H162" s="249">
        <v>0.65</v>
      </c>
      <c r="I162" s="139"/>
      <c r="J162" s="232"/>
      <c r="N162" s="234" t="b">
        <f>OR(Таблица191012[[#This Row],[Щебень]]&gt;0,Таблица191012[[#This Row],[Асфальт]]&gt;0,Таблица191012[[#This Row],[Бетон]]&gt;0)</f>
        <v>1</v>
      </c>
      <c r="O162" s="234">
        <v>1</v>
      </c>
      <c r="Q162" s="234">
        <v>158</v>
      </c>
      <c r="S162" s="235"/>
      <c r="T162" s="235"/>
      <c r="U162" s="306"/>
      <c r="V162" s="306">
        <f>Таблица191012[[#This Row],[Грунт]]+Таблица191012[[#This Row],[Щебень]]+Таблица191012[[#This Row],[Асфальт]]+Таблица191012[[#This Row],[Бетон]]</f>
        <v>0.65</v>
      </c>
      <c r="W162" s="306"/>
      <c r="X162" s="306"/>
      <c r="Y162" s="306"/>
      <c r="Z162" s="306"/>
      <c r="AG162" s="234">
        <v>54</v>
      </c>
    </row>
    <row r="163" spans="1:33" s="234" customFormat="1" ht="46.5" x14ac:dyDescent="0.35">
      <c r="A163" s="146">
        <v>162</v>
      </c>
      <c r="B163" s="146" t="s">
        <v>310</v>
      </c>
      <c r="C163" s="146" t="s">
        <v>311</v>
      </c>
      <c r="D163" s="146" t="s">
        <v>542</v>
      </c>
      <c r="E163" s="254">
        <f>Таблица191012[[#This Row],[Грунт]]+Таблица191012[[#This Row],[Щебень]]+Таблица191012[[#This Row],[Асфальт]]+Таблица191012[[#This Row],[Бетон]]</f>
        <v>0.8</v>
      </c>
      <c r="F163" s="311"/>
      <c r="G163" s="140"/>
      <c r="H163" s="249">
        <v>0.8</v>
      </c>
      <c r="I163" s="139"/>
      <c r="J163" s="232"/>
      <c r="N163" s="234" t="b">
        <f>OR(Таблица191012[[#This Row],[Щебень]]&gt;0,Таблица191012[[#This Row],[Асфальт]]&gt;0,Таблица191012[[#This Row],[Бетон]]&gt;0)</f>
        <v>1</v>
      </c>
      <c r="O163" s="234">
        <v>1</v>
      </c>
      <c r="Q163" s="234">
        <v>159</v>
      </c>
      <c r="S163" s="235"/>
      <c r="T163" s="235"/>
      <c r="U163" s="306"/>
      <c r="V163" s="306">
        <f>Таблица191012[[#This Row],[Грунт]]+Таблица191012[[#This Row],[Щебень]]+Таблица191012[[#This Row],[Асфальт]]+Таблица191012[[#This Row],[Бетон]]</f>
        <v>0.8</v>
      </c>
      <c r="W163" s="306"/>
      <c r="X163" s="306"/>
      <c r="Y163" s="306"/>
      <c r="Z163" s="306"/>
      <c r="AG163" s="234">
        <v>55</v>
      </c>
    </row>
    <row r="164" spans="1:33" s="234" customFormat="1" ht="46.5" x14ac:dyDescent="0.35">
      <c r="A164" s="146">
        <v>163</v>
      </c>
      <c r="B164" s="146" t="s">
        <v>312</v>
      </c>
      <c r="C164" s="146" t="s">
        <v>313</v>
      </c>
      <c r="D164" s="146" t="s">
        <v>542</v>
      </c>
      <c r="E164" s="254">
        <f>Таблица191012[[#This Row],[Грунт]]+Таблица191012[[#This Row],[Щебень]]+Таблица191012[[#This Row],[Асфальт]]+Таблица191012[[#This Row],[Бетон]]</f>
        <v>1.8</v>
      </c>
      <c r="F164" s="311"/>
      <c r="G164" s="140"/>
      <c r="H164" s="249">
        <v>1.8</v>
      </c>
      <c r="I164" s="139"/>
      <c r="J164" s="232"/>
      <c r="N164" s="234" t="b">
        <f>OR(Таблица191012[[#This Row],[Щебень]]&gt;0,Таблица191012[[#This Row],[Асфальт]]&gt;0,Таблица191012[[#This Row],[Бетон]]&gt;0)</f>
        <v>1</v>
      </c>
      <c r="O164" s="234">
        <v>1</v>
      </c>
      <c r="Q164" s="234">
        <v>160</v>
      </c>
      <c r="S164" s="235"/>
      <c r="T164" s="235"/>
      <c r="U164" s="306"/>
      <c r="V164" s="306">
        <f>Таблица191012[[#This Row],[Грунт]]+Таблица191012[[#This Row],[Щебень]]+Таблица191012[[#This Row],[Асфальт]]+Таблица191012[[#This Row],[Бетон]]</f>
        <v>1.8</v>
      </c>
      <c r="W164" s="306"/>
      <c r="X164" s="306"/>
      <c r="Y164" s="306"/>
      <c r="Z164" s="306"/>
      <c r="AG164" s="234">
        <v>56</v>
      </c>
    </row>
    <row r="165" spans="1:33" s="234" customFormat="1" ht="46.5" x14ac:dyDescent="0.35">
      <c r="A165" s="146">
        <v>164</v>
      </c>
      <c r="B165" s="146" t="s">
        <v>314</v>
      </c>
      <c r="C165" s="146" t="s">
        <v>315</v>
      </c>
      <c r="D165" s="146" t="s">
        <v>542</v>
      </c>
      <c r="E165" s="254">
        <f>Таблица191012[[#This Row],[Грунт]]+Таблица191012[[#This Row],[Щебень]]+Таблица191012[[#This Row],[Асфальт]]+Таблица191012[[#This Row],[Бетон]]</f>
        <v>0.55000000000000004</v>
      </c>
      <c r="F165" s="311"/>
      <c r="G165" s="140"/>
      <c r="H165" s="249">
        <v>0.55000000000000004</v>
      </c>
      <c r="I165" s="139"/>
      <c r="J165" s="232"/>
      <c r="N165" s="234" t="b">
        <f>OR(Таблица191012[[#This Row],[Щебень]]&gt;0,Таблица191012[[#This Row],[Асфальт]]&gt;0,Таблица191012[[#This Row],[Бетон]]&gt;0)</f>
        <v>1</v>
      </c>
      <c r="O165" s="234">
        <v>1</v>
      </c>
      <c r="Q165" s="234">
        <v>161</v>
      </c>
      <c r="S165" s="235"/>
      <c r="T165" s="235"/>
      <c r="U165" s="306"/>
      <c r="V165" s="306">
        <f>Таблица191012[[#This Row],[Грунт]]+Таблица191012[[#This Row],[Щебень]]+Таблица191012[[#This Row],[Асфальт]]+Таблица191012[[#This Row],[Бетон]]</f>
        <v>0.55000000000000004</v>
      </c>
      <c r="W165" s="306"/>
      <c r="X165" s="306"/>
      <c r="Y165" s="306"/>
      <c r="Z165" s="306"/>
      <c r="AG165" s="234">
        <v>57</v>
      </c>
    </row>
    <row r="166" spans="1:33" s="234" customFormat="1" ht="46.5" x14ac:dyDescent="0.35">
      <c r="A166" s="146">
        <v>165</v>
      </c>
      <c r="B166" s="146" t="s">
        <v>316</v>
      </c>
      <c r="C166" s="146" t="s">
        <v>317</v>
      </c>
      <c r="D166" s="146" t="s">
        <v>542</v>
      </c>
      <c r="E166" s="254">
        <f>Таблица191012[[#This Row],[Грунт]]+Таблица191012[[#This Row],[Щебень]]+Таблица191012[[#This Row],[Асфальт]]+Таблица191012[[#This Row],[Бетон]]</f>
        <v>1.3</v>
      </c>
      <c r="F166" s="311">
        <v>1.3</v>
      </c>
      <c r="G166" s="140"/>
      <c r="H166" s="249"/>
      <c r="I166" s="139"/>
      <c r="J166" s="232"/>
      <c r="N166" s="234" t="b">
        <f>OR(Таблица191012[[#This Row],[Щебень]]&gt;0,Таблица191012[[#This Row],[Асфальт]]&gt;0,Таблица191012[[#This Row],[Бетон]]&gt;0)</f>
        <v>0</v>
      </c>
      <c r="Q166" s="234">
        <v>162</v>
      </c>
      <c r="S166" s="235"/>
      <c r="T166" s="235"/>
      <c r="U166" s="306"/>
      <c r="V166" s="306">
        <f>Таблица191012[[#This Row],[Грунт]]+Таблица191012[[#This Row],[Щебень]]+Таблица191012[[#This Row],[Асфальт]]+Таблица191012[[#This Row],[Бетон]]</f>
        <v>1.3</v>
      </c>
      <c r="W166" s="306"/>
      <c r="X166" s="306"/>
      <c r="Y166" s="306"/>
      <c r="Z166" s="306"/>
      <c r="AG166" s="234">
        <v>58</v>
      </c>
    </row>
    <row r="167" spans="1:33" s="234" customFormat="1" ht="46.5" x14ac:dyDescent="0.35">
      <c r="A167" s="146">
        <v>166</v>
      </c>
      <c r="B167" s="146" t="s">
        <v>318</v>
      </c>
      <c r="C167" s="146" t="s">
        <v>319</v>
      </c>
      <c r="D167" s="146" t="s">
        <v>542</v>
      </c>
      <c r="E167" s="254">
        <f>Таблица191012[[#This Row],[Грунт]]+Таблица191012[[#This Row],[Щебень]]+Таблица191012[[#This Row],[Асфальт]]+Таблица191012[[#This Row],[Бетон]]</f>
        <v>0.5</v>
      </c>
      <c r="F167" s="311">
        <v>0.5</v>
      </c>
      <c r="G167" s="140"/>
      <c r="H167" s="249"/>
      <c r="I167" s="139"/>
      <c r="J167" s="232"/>
      <c r="N167" s="234" t="b">
        <f>OR(Таблица191012[[#This Row],[Щебень]]&gt;0,Таблица191012[[#This Row],[Асфальт]]&gt;0,Таблица191012[[#This Row],[Бетон]]&gt;0)</f>
        <v>0</v>
      </c>
      <c r="Q167" s="234">
        <v>163</v>
      </c>
      <c r="S167" s="235"/>
      <c r="T167" s="235"/>
      <c r="U167" s="306"/>
      <c r="V167" s="306">
        <f>Таблица191012[[#This Row],[Грунт]]+Таблица191012[[#This Row],[Щебень]]+Таблица191012[[#This Row],[Асфальт]]+Таблица191012[[#This Row],[Бетон]]</f>
        <v>0.5</v>
      </c>
      <c r="W167" s="306"/>
      <c r="X167" s="306"/>
      <c r="Y167" s="306"/>
      <c r="Z167" s="306"/>
      <c r="AG167" s="234">
        <v>59</v>
      </c>
    </row>
    <row r="168" spans="1:33" s="234" customFormat="1" ht="46.5" x14ac:dyDescent="0.35">
      <c r="A168" s="146">
        <v>167</v>
      </c>
      <c r="B168" s="146" t="s">
        <v>320</v>
      </c>
      <c r="C168" s="146" t="s">
        <v>321</v>
      </c>
      <c r="D168" s="146" t="s">
        <v>542</v>
      </c>
      <c r="E168" s="254">
        <f>Таблица191012[[#This Row],[Грунт]]+Таблица191012[[#This Row],[Щебень]]+Таблица191012[[#This Row],[Асфальт]]+Таблица191012[[#This Row],[Бетон]]</f>
        <v>5.2</v>
      </c>
      <c r="F168" s="311">
        <v>3.7</v>
      </c>
      <c r="G168" s="140"/>
      <c r="H168" s="249">
        <v>1.5</v>
      </c>
      <c r="I168" s="139"/>
      <c r="J168" s="232"/>
      <c r="N168" s="234" t="b">
        <f>OR(Таблица191012[[#This Row],[Щебень]]&gt;0,Таблица191012[[#This Row],[Асфальт]]&gt;0,Таблица191012[[#This Row],[Бетон]]&gt;0)</f>
        <v>1</v>
      </c>
      <c r="O168" s="234">
        <v>1</v>
      </c>
      <c r="Q168" s="234">
        <v>164</v>
      </c>
      <c r="S168" s="235"/>
      <c r="T168" s="235"/>
      <c r="U168" s="306"/>
      <c r="V168" s="306">
        <f>Таблица191012[[#This Row],[Грунт]]+Таблица191012[[#This Row],[Щебень]]+Таблица191012[[#This Row],[Асфальт]]+Таблица191012[[#This Row],[Бетон]]</f>
        <v>5.2</v>
      </c>
      <c r="W168" s="306"/>
      <c r="X168" s="306"/>
      <c r="Y168" s="306"/>
      <c r="Z168" s="306"/>
      <c r="AG168" s="234">
        <v>60</v>
      </c>
    </row>
    <row r="169" spans="1:33" s="234" customFormat="1" ht="46.5" x14ac:dyDescent="0.35">
      <c r="A169" s="146">
        <v>168</v>
      </c>
      <c r="B169" s="146" t="s">
        <v>322</v>
      </c>
      <c r="C169" s="146" t="s">
        <v>323</v>
      </c>
      <c r="D169" s="146" t="s">
        <v>542</v>
      </c>
      <c r="E169" s="254">
        <f>Таблица191012[[#This Row],[Грунт]]+Таблица191012[[#This Row],[Щебень]]+Таблица191012[[#This Row],[Асфальт]]+Таблица191012[[#This Row],[Бетон]]</f>
        <v>2.4</v>
      </c>
      <c r="F169" s="311">
        <v>0.4</v>
      </c>
      <c r="G169" s="140">
        <v>2</v>
      </c>
      <c r="H169" s="249"/>
      <c r="I169" s="139"/>
      <c r="J169" s="232"/>
      <c r="N169" s="234" t="b">
        <f>OR(Таблица191012[[#This Row],[Щебень]]&gt;0,Таблица191012[[#This Row],[Асфальт]]&gt;0,Таблица191012[[#This Row],[Бетон]]&gt;0)</f>
        <v>1</v>
      </c>
      <c r="O169" s="234">
        <v>1</v>
      </c>
      <c r="Q169" s="234">
        <v>165</v>
      </c>
      <c r="S169" s="235"/>
      <c r="T169" s="235"/>
      <c r="U169" s="306"/>
      <c r="V169" s="306">
        <f>Таблица191012[[#This Row],[Грунт]]+Таблица191012[[#This Row],[Щебень]]+Таблица191012[[#This Row],[Асфальт]]+Таблица191012[[#This Row],[Бетон]]</f>
        <v>2.4</v>
      </c>
      <c r="W169" s="306"/>
      <c r="X169" s="306"/>
      <c r="Y169" s="306"/>
      <c r="Z169" s="306"/>
      <c r="AG169" s="234">
        <v>61</v>
      </c>
    </row>
    <row r="170" spans="1:33" s="234" customFormat="1" ht="46.5" x14ac:dyDescent="0.35">
      <c r="A170" s="146">
        <v>169</v>
      </c>
      <c r="B170" s="146" t="s">
        <v>324</v>
      </c>
      <c r="C170" s="146" t="s">
        <v>325</v>
      </c>
      <c r="D170" s="146" t="s">
        <v>542</v>
      </c>
      <c r="E170" s="254">
        <f>Таблица191012[[#This Row],[Грунт]]+Таблица191012[[#This Row],[Щебень]]+Таблица191012[[#This Row],[Асфальт]]+Таблица191012[[#This Row],[Бетон]]</f>
        <v>0.95</v>
      </c>
      <c r="F170" s="311">
        <v>0.95</v>
      </c>
      <c r="G170" s="140"/>
      <c r="H170" s="249"/>
      <c r="I170" s="139"/>
      <c r="J170" s="232"/>
      <c r="N170" s="234" t="b">
        <f>OR(Таблица191012[[#This Row],[Щебень]]&gt;0,Таблица191012[[#This Row],[Асфальт]]&gt;0,Таблица191012[[#This Row],[Бетон]]&gt;0)</f>
        <v>0</v>
      </c>
      <c r="Q170" s="234">
        <v>166</v>
      </c>
      <c r="S170" s="235"/>
      <c r="T170" s="235"/>
      <c r="U170" s="306"/>
      <c r="V170" s="306">
        <f>Таблица191012[[#This Row],[Грунт]]+Таблица191012[[#This Row],[Щебень]]+Таблица191012[[#This Row],[Асфальт]]+Таблица191012[[#This Row],[Бетон]]</f>
        <v>0.95</v>
      </c>
      <c r="W170" s="306"/>
      <c r="X170" s="306"/>
      <c r="Y170" s="306"/>
      <c r="Z170" s="306"/>
      <c r="AG170" s="234">
        <v>62</v>
      </c>
    </row>
    <row r="171" spans="1:33" s="234" customFormat="1" ht="46.5" x14ac:dyDescent="0.35">
      <c r="A171" s="146">
        <v>170</v>
      </c>
      <c r="B171" s="146" t="s">
        <v>326</v>
      </c>
      <c r="C171" s="146" t="s">
        <v>327</v>
      </c>
      <c r="D171" s="146" t="s">
        <v>542</v>
      </c>
      <c r="E171" s="254">
        <f>Таблица191012[[#This Row],[Грунт]]+Таблица191012[[#This Row],[Щебень]]+Таблица191012[[#This Row],[Асфальт]]+Таблица191012[[#This Row],[Бетон]]</f>
        <v>1.1000000000000001</v>
      </c>
      <c r="F171" s="311">
        <v>1.1000000000000001</v>
      </c>
      <c r="G171" s="140"/>
      <c r="H171" s="249"/>
      <c r="I171" s="139"/>
      <c r="J171" s="232"/>
      <c r="N171" s="234" t="b">
        <f>OR(Таблица191012[[#This Row],[Щебень]]&gt;0,Таблица191012[[#This Row],[Асфальт]]&gt;0,Таблица191012[[#This Row],[Бетон]]&gt;0)</f>
        <v>0</v>
      </c>
      <c r="Q171" s="234">
        <v>167</v>
      </c>
      <c r="S171" s="235"/>
      <c r="T171" s="235"/>
      <c r="U171" s="306"/>
      <c r="V171" s="306">
        <f>Таблица191012[[#This Row],[Грунт]]+Таблица191012[[#This Row],[Щебень]]+Таблица191012[[#This Row],[Асфальт]]+Таблица191012[[#This Row],[Бетон]]</f>
        <v>1.1000000000000001</v>
      </c>
      <c r="W171" s="306"/>
      <c r="X171" s="306"/>
      <c r="Y171" s="306"/>
      <c r="Z171" s="306"/>
      <c r="AG171" s="234">
        <v>63</v>
      </c>
    </row>
    <row r="172" spans="1:33" s="234" customFormat="1" ht="46.5" x14ac:dyDescent="0.35">
      <c r="A172" s="146">
        <v>171</v>
      </c>
      <c r="B172" s="146" t="s">
        <v>328</v>
      </c>
      <c r="C172" s="146" t="s">
        <v>835</v>
      </c>
      <c r="D172" s="146" t="s">
        <v>542</v>
      </c>
      <c r="E172" s="254">
        <f>Таблица191012[[#This Row],[Грунт]]+Таблица191012[[#This Row],[Щебень]]+Таблица191012[[#This Row],[Асфальт]]+Таблица191012[[#This Row],[Бетон]]</f>
        <v>0.5</v>
      </c>
      <c r="F172" s="311">
        <v>0.5</v>
      </c>
      <c r="G172" s="140"/>
      <c r="H172" s="249"/>
      <c r="I172" s="139"/>
      <c r="J172" s="232"/>
      <c r="N172" s="234" t="b">
        <f>OR(Таблица191012[[#This Row],[Щебень]]&gt;0,Таблица191012[[#This Row],[Асфальт]]&gt;0,Таблица191012[[#This Row],[Бетон]]&gt;0)</f>
        <v>0</v>
      </c>
      <c r="Q172" s="234">
        <v>168</v>
      </c>
      <c r="S172" s="235"/>
      <c r="T172" s="235"/>
      <c r="U172" s="306"/>
      <c r="V172" s="306">
        <f>Таблица191012[[#This Row],[Грунт]]+Таблица191012[[#This Row],[Щебень]]+Таблица191012[[#This Row],[Асфальт]]+Таблица191012[[#This Row],[Бетон]]</f>
        <v>0.5</v>
      </c>
      <c r="W172" s="306"/>
      <c r="X172" s="306"/>
      <c r="Y172" s="306"/>
      <c r="Z172" s="306"/>
      <c r="AG172" s="234">
        <v>64</v>
      </c>
    </row>
    <row r="173" spans="1:33" s="234" customFormat="1" ht="46.5" x14ac:dyDescent="0.35">
      <c r="A173" s="146">
        <v>172</v>
      </c>
      <c r="B173" s="146" t="s">
        <v>330</v>
      </c>
      <c r="C173" s="146" t="s">
        <v>331</v>
      </c>
      <c r="D173" s="146" t="s">
        <v>542</v>
      </c>
      <c r="E173" s="254">
        <f>Таблица191012[[#This Row],[Грунт]]+Таблица191012[[#This Row],[Щебень]]+Таблица191012[[#This Row],[Асфальт]]+Таблица191012[[#This Row],[Бетон]]</f>
        <v>1.2</v>
      </c>
      <c r="F173" s="311">
        <v>1</v>
      </c>
      <c r="G173" s="140"/>
      <c r="H173" s="249">
        <v>0.2</v>
      </c>
      <c r="I173" s="139"/>
      <c r="J173" s="232"/>
      <c r="N173" s="234" t="b">
        <f>OR(Таблица191012[[#This Row],[Щебень]]&gt;0,Таблица191012[[#This Row],[Асфальт]]&gt;0,Таблица191012[[#This Row],[Бетон]]&gt;0)</f>
        <v>1</v>
      </c>
      <c r="O173" s="234">
        <v>1</v>
      </c>
      <c r="Q173" s="234">
        <v>169</v>
      </c>
      <c r="S173" s="235"/>
      <c r="T173" s="235"/>
      <c r="U173" s="306"/>
      <c r="V173" s="306">
        <f>Таблица191012[[#This Row],[Грунт]]+Таблица191012[[#This Row],[Щебень]]+Таблица191012[[#This Row],[Асфальт]]+Таблица191012[[#This Row],[Бетон]]</f>
        <v>1.2</v>
      </c>
      <c r="W173" s="306"/>
      <c r="X173" s="306"/>
      <c r="Y173" s="306"/>
      <c r="Z173" s="306"/>
      <c r="AG173" s="234">
        <v>65</v>
      </c>
    </row>
    <row r="174" spans="1:33" s="234" customFormat="1" ht="46.5" x14ac:dyDescent="0.35">
      <c r="A174" s="146">
        <v>173</v>
      </c>
      <c r="B174" s="146" t="s">
        <v>332</v>
      </c>
      <c r="C174" s="146" t="s">
        <v>333</v>
      </c>
      <c r="D174" s="146" t="s">
        <v>542</v>
      </c>
      <c r="E174" s="254">
        <f>Таблица191012[[#This Row],[Грунт]]+Таблица191012[[#This Row],[Щебень]]+Таблица191012[[#This Row],[Асфальт]]+Таблица191012[[#This Row],[Бетон]]</f>
        <v>0.6</v>
      </c>
      <c r="F174" s="311"/>
      <c r="G174" s="140">
        <v>0.6</v>
      </c>
      <c r="H174" s="249"/>
      <c r="I174" s="139"/>
      <c r="J174" s="232"/>
      <c r="N174" s="234" t="b">
        <f>OR(Таблица191012[[#This Row],[Щебень]]&gt;0,Таблица191012[[#This Row],[Асфальт]]&gt;0,Таблица191012[[#This Row],[Бетон]]&gt;0)</f>
        <v>1</v>
      </c>
      <c r="O174" s="234">
        <v>1</v>
      </c>
      <c r="Q174" s="234">
        <v>170</v>
      </c>
      <c r="S174" s="235"/>
      <c r="T174" s="235"/>
      <c r="U174" s="306"/>
      <c r="V174" s="306">
        <f>Таблица191012[[#This Row],[Грунт]]+Таблица191012[[#This Row],[Щебень]]+Таблица191012[[#This Row],[Асфальт]]+Таблица191012[[#This Row],[Бетон]]</f>
        <v>0.6</v>
      </c>
      <c r="W174" s="306"/>
      <c r="X174" s="306"/>
      <c r="Y174" s="306"/>
      <c r="Z174" s="306"/>
      <c r="AG174" s="234">
        <v>66</v>
      </c>
    </row>
    <row r="175" spans="1:33" s="234" customFormat="1" ht="46.5" x14ac:dyDescent="0.35">
      <c r="A175" s="146">
        <v>174</v>
      </c>
      <c r="B175" s="146" t="s">
        <v>334</v>
      </c>
      <c r="C175" s="146" t="s">
        <v>335</v>
      </c>
      <c r="D175" s="146" t="s">
        <v>543</v>
      </c>
      <c r="E175" s="254">
        <f>Таблица191012[[#This Row],[Грунт]]+Таблица191012[[#This Row],[Щебень]]+Таблица191012[[#This Row],[Асфальт]]+Таблица191012[[#This Row],[Бетон]]</f>
        <v>2</v>
      </c>
      <c r="F175" s="315">
        <v>0.2</v>
      </c>
      <c r="G175" s="140">
        <v>0.3</v>
      </c>
      <c r="H175" s="249">
        <v>1</v>
      </c>
      <c r="I175" s="139">
        <v>0.5</v>
      </c>
      <c r="J175" s="232"/>
      <c r="K175" s="233" t="s">
        <v>557</v>
      </c>
      <c r="N175" s="234" t="b">
        <f>OR(Таблица191012[[#This Row],[Щебень]]&gt;0,Таблица191012[[#This Row],[Асфальт]]&gt;0,Таблица191012[[#This Row],[Бетон]]&gt;0)</f>
        <v>1</v>
      </c>
      <c r="O175" s="234">
        <v>1</v>
      </c>
      <c r="P175" s="234">
        <v>1.7</v>
      </c>
      <c r="Q175" s="234">
        <v>171</v>
      </c>
      <c r="S175" s="235"/>
      <c r="T175" s="235"/>
      <c r="U175" s="306"/>
      <c r="V175" s="306">
        <f>Таблица191012[[#This Row],[Грунт]]+Таблица191012[[#This Row],[Щебень]]+Таблица191012[[#This Row],[Асфальт]]+Таблица191012[[#This Row],[Бетон]]</f>
        <v>2</v>
      </c>
      <c r="W175" s="306"/>
      <c r="X175" s="306"/>
      <c r="Y175" s="306"/>
      <c r="Z175" s="306"/>
      <c r="AG175" s="234">
        <v>67</v>
      </c>
    </row>
    <row r="176" spans="1:33" s="234" customFormat="1" ht="46.5" x14ac:dyDescent="0.35">
      <c r="A176" s="146">
        <v>175</v>
      </c>
      <c r="B176" s="146" t="s">
        <v>336</v>
      </c>
      <c r="C176" s="146" t="s">
        <v>337</v>
      </c>
      <c r="D176" s="146" t="s">
        <v>543</v>
      </c>
      <c r="E176" s="254">
        <f>Таблица191012[[#This Row],[Грунт]]+Таблица191012[[#This Row],[Щебень]]+Таблица191012[[#This Row],[Асфальт]]+Таблица191012[[#This Row],[Бетон]]</f>
        <v>0.3</v>
      </c>
      <c r="F176" s="315">
        <v>0.3</v>
      </c>
      <c r="G176" s="140"/>
      <c r="H176" s="249"/>
      <c r="I176" s="139"/>
      <c r="J176" s="232"/>
      <c r="N176" s="234" t="b">
        <f>OR(Таблица191012[[#This Row],[Щебень]]&gt;0,Таблица191012[[#This Row],[Асфальт]]&gt;0,Таблица191012[[#This Row],[Бетон]]&gt;0)</f>
        <v>0</v>
      </c>
      <c r="Q176" s="234">
        <v>172</v>
      </c>
      <c r="S176" s="235"/>
      <c r="T176" s="235"/>
      <c r="U176" s="306"/>
      <c r="V176" s="306">
        <f>Таблица191012[[#This Row],[Грунт]]+Таблица191012[[#This Row],[Щебень]]+Таблица191012[[#This Row],[Асфальт]]+Таблица191012[[#This Row],[Бетон]]</f>
        <v>0.3</v>
      </c>
      <c r="W176" s="306"/>
      <c r="X176" s="306"/>
      <c r="Y176" s="306"/>
      <c r="Z176" s="306"/>
      <c r="AG176" s="234">
        <v>68</v>
      </c>
    </row>
    <row r="177" spans="1:33" s="234" customFormat="1" ht="46.5" x14ac:dyDescent="0.35">
      <c r="A177" s="146">
        <v>176</v>
      </c>
      <c r="B177" s="146" t="s">
        <v>338</v>
      </c>
      <c r="C177" s="146" t="s">
        <v>339</v>
      </c>
      <c r="D177" s="146" t="s">
        <v>543</v>
      </c>
      <c r="E177" s="254">
        <f>Таблица191012[[#This Row],[Грунт]]+Таблица191012[[#This Row],[Щебень]]+Таблица191012[[#This Row],[Асфальт]]+Таблица191012[[#This Row],[Бетон]]</f>
        <v>0.85</v>
      </c>
      <c r="F177" s="315">
        <v>0.85</v>
      </c>
      <c r="G177" s="140"/>
      <c r="H177" s="249"/>
      <c r="I177" s="139"/>
      <c r="J177" s="232"/>
      <c r="N177" s="234" t="b">
        <f>OR(Таблица191012[[#This Row],[Щебень]]&gt;0,Таблица191012[[#This Row],[Асфальт]]&gt;0,Таблица191012[[#This Row],[Бетон]]&gt;0)</f>
        <v>0</v>
      </c>
      <c r="Q177" s="234">
        <v>173</v>
      </c>
      <c r="S177" s="235"/>
      <c r="T177" s="235"/>
      <c r="U177" s="306"/>
      <c r="V177" s="306">
        <f>Таблица191012[[#This Row],[Грунт]]+Таблица191012[[#This Row],[Щебень]]+Таблица191012[[#This Row],[Асфальт]]+Таблица191012[[#This Row],[Бетон]]</f>
        <v>0.85</v>
      </c>
      <c r="W177" s="306"/>
      <c r="X177" s="306"/>
      <c r="Y177" s="306"/>
      <c r="Z177" s="306"/>
      <c r="AG177" s="234">
        <v>69</v>
      </c>
    </row>
    <row r="178" spans="1:33" s="234" customFormat="1" ht="46.5" x14ac:dyDescent="0.35">
      <c r="A178" s="146">
        <v>177</v>
      </c>
      <c r="B178" s="146" t="s">
        <v>340</v>
      </c>
      <c r="C178" s="146" t="s">
        <v>341</v>
      </c>
      <c r="D178" s="146" t="s">
        <v>543</v>
      </c>
      <c r="E178" s="254">
        <f>Таблица191012[[#This Row],[Грунт]]+Таблица191012[[#This Row],[Щебень]]+Таблица191012[[#This Row],[Асфальт]]+Таблица191012[[#This Row],[Бетон]]</f>
        <v>0.4</v>
      </c>
      <c r="F178" s="315">
        <v>0.4</v>
      </c>
      <c r="G178" s="140"/>
      <c r="H178" s="249"/>
      <c r="I178" s="139"/>
      <c r="J178" s="232"/>
      <c r="N178" s="234" t="b">
        <f>OR(Таблица191012[[#This Row],[Щебень]]&gt;0,Таблица191012[[#This Row],[Асфальт]]&gt;0,Таблица191012[[#This Row],[Бетон]]&gt;0)</f>
        <v>0</v>
      </c>
      <c r="Q178" s="234">
        <v>174</v>
      </c>
      <c r="S178" s="235"/>
      <c r="T178" s="235"/>
      <c r="U178" s="306"/>
      <c r="V178" s="306">
        <f>Таблица191012[[#This Row],[Грунт]]+Таблица191012[[#This Row],[Щебень]]+Таблица191012[[#This Row],[Асфальт]]+Таблица191012[[#This Row],[Бетон]]</f>
        <v>0.4</v>
      </c>
      <c r="W178" s="306"/>
      <c r="X178" s="306"/>
      <c r="Y178" s="306"/>
      <c r="Z178" s="306"/>
      <c r="AG178" s="234">
        <v>70</v>
      </c>
    </row>
    <row r="179" spans="1:33" s="234" customFormat="1" ht="46.5" x14ac:dyDescent="0.35">
      <c r="A179" s="146">
        <v>178</v>
      </c>
      <c r="B179" s="146" t="s">
        <v>342</v>
      </c>
      <c r="C179" s="146" t="s">
        <v>343</v>
      </c>
      <c r="D179" s="146" t="s">
        <v>543</v>
      </c>
      <c r="E179" s="254">
        <f>Таблица191012[[#This Row],[Грунт]]+Таблица191012[[#This Row],[Щебень]]+Таблица191012[[#This Row],[Асфальт]]+Таблица191012[[#This Row],[Бетон]]</f>
        <v>1.45</v>
      </c>
      <c r="F179" s="315">
        <v>1.45</v>
      </c>
      <c r="G179" s="140"/>
      <c r="H179" s="249"/>
      <c r="I179" s="139"/>
      <c r="J179" s="232"/>
      <c r="N179" s="234" t="b">
        <f>OR(Таблица191012[[#This Row],[Щебень]]&gt;0,Таблица191012[[#This Row],[Асфальт]]&gt;0,Таблица191012[[#This Row],[Бетон]]&gt;0)</f>
        <v>0</v>
      </c>
      <c r="Q179" s="234">
        <v>175</v>
      </c>
      <c r="S179" s="235"/>
      <c r="T179" s="235"/>
      <c r="U179" s="306"/>
      <c r="V179" s="306">
        <f>Таблица191012[[#This Row],[Грунт]]+Таблица191012[[#This Row],[Щебень]]+Таблица191012[[#This Row],[Асфальт]]+Таблица191012[[#This Row],[Бетон]]</f>
        <v>1.45</v>
      </c>
      <c r="W179" s="306"/>
      <c r="X179" s="306"/>
      <c r="Y179" s="306"/>
      <c r="Z179" s="306"/>
      <c r="AG179" s="234">
        <v>71</v>
      </c>
    </row>
    <row r="180" spans="1:33" s="234" customFormat="1" ht="46.5" x14ac:dyDescent="0.35">
      <c r="A180" s="146">
        <v>179</v>
      </c>
      <c r="B180" s="146" t="s">
        <v>344</v>
      </c>
      <c r="C180" s="146" t="s">
        <v>345</v>
      </c>
      <c r="D180" s="146" t="s">
        <v>543</v>
      </c>
      <c r="E180" s="254">
        <f>Таблица191012[[#This Row],[Грунт]]+Таблица191012[[#This Row],[Щебень]]+Таблица191012[[#This Row],[Асфальт]]+Таблица191012[[#This Row],[Бетон]]</f>
        <v>0.8</v>
      </c>
      <c r="F180" s="315">
        <v>0.8</v>
      </c>
      <c r="G180" s="140"/>
      <c r="H180" s="249"/>
      <c r="I180" s="139"/>
      <c r="J180" s="232"/>
      <c r="N180" s="234" t="b">
        <f>OR(Таблица191012[[#This Row],[Щебень]]&gt;0,Таблица191012[[#This Row],[Асфальт]]&gt;0,Таблица191012[[#This Row],[Бетон]]&gt;0)</f>
        <v>0</v>
      </c>
      <c r="Q180" s="234">
        <v>176</v>
      </c>
      <c r="S180" s="235"/>
      <c r="T180" s="235"/>
      <c r="U180" s="306"/>
      <c r="V180" s="306">
        <f>Таблица191012[[#This Row],[Грунт]]+Таблица191012[[#This Row],[Щебень]]+Таблица191012[[#This Row],[Асфальт]]+Таблица191012[[#This Row],[Бетон]]</f>
        <v>0.8</v>
      </c>
      <c r="W180" s="306"/>
      <c r="X180" s="306"/>
      <c r="Y180" s="306"/>
      <c r="Z180" s="306"/>
      <c r="AG180" s="234">
        <v>72</v>
      </c>
    </row>
    <row r="181" spans="1:33" s="234" customFormat="1" ht="46.5" x14ac:dyDescent="0.35">
      <c r="A181" s="146">
        <v>180</v>
      </c>
      <c r="B181" s="146" t="s">
        <v>346</v>
      </c>
      <c r="C181" s="146" t="s">
        <v>347</v>
      </c>
      <c r="D181" s="146" t="s">
        <v>543</v>
      </c>
      <c r="E181" s="254">
        <f>Таблица191012[[#This Row],[Грунт]]+Таблица191012[[#This Row],[Щебень]]+Таблица191012[[#This Row],[Асфальт]]+Таблица191012[[#This Row],[Бетон]]</f>
        <v>1.5</v>
      </c>
      <c r="F181" s="315">
        <v>1.5</v>
      </c>
      <c r="G181" s="140"/>
      <c r="H181" s="249"/>
      <c r="I181" s="139"/>
      <c r="J181" s="232"/>
      <c r="N181" s="234" t="b">
        <f>OR(Таблица191012[[#This Row],[Щебень]]&gt;0,Таблица191012[[#This Row],[Асфальт]]&gt;0,Таблица191012[[#This Row],[Бетон]]&gt;0)</f>
        <v>0</v>
      </c>
      <c r="Q181" s="234">
        <v>177</v>
      </c>
      <c r="S181" s="235"/>
      <c r="T181" s="235"/>
      <c r="U181" s="306"/>
      <c r="V181" s="306">
        <f>Таблица191012[[#This Row],[Грунт]]+Таблица191012[[#This Row],[Щебень]]+Таблица191012[[#This Row],[Асфальт]]+Таблица191012[[#This Row],[Бетон]]</f>
        <v>1.5</v>
      </c>
      <c r="W181" s="306"/>
      <c r="X181" s="306"/>
      <c r="Y181" s="306"/>
      <c r="Z181" s="306"/>
      <c r="AG181" s="234">
        <v>73</v>
      </c>
    </row>
    <row r="182" spans="1:33" s="234" customFormat="1" ht="46.5" x14ac:dyDescent="0.35">
      <c r="A182" s="146">
        <v>181</v>
      </c>
      <c r="B182" s="146" t="s">
        <v>348</v>
      </c>
      <c r="C182" s="146" t="s">
        <v>349</v>
      </c>
      <c r="D182" s="146" t="s">
        <v>543</v>
      </c>
      <c r="E182" s="254">
        <f>Таблица191012[[#This Row],[Грунт]]+Таблица191012[[#This Row],[Щебень]]+Таблица191012[[#This Row],[Асфальт]]+Таблица191012[[#This Row],[Бетон]]</f>
        <v>0.65</v>
      </c>
      <c r="F182" s="315">
        <v>0.65</v>
      </c>
      <c r="G182" s="140"/>
      <c r="H182" s="249"/>
      <c r="I182" s="139"/>
      <c r="J182" s="232"/>
      <c r="N182" s="234" t="b">
        <f>OR(Таблица191012[[#This Row],[Щебень]]&gt;0,Таблица191012[[#This Row],[Асфальт]]&gt;0,Таблица191012[[#This Row],[Бетон]]&gt;0)</f>
        <v>0</v>
      </c>
      <c r="Q182" s="234">
        <v>178</v>
      </c>
      <c r="S182" s="235"/>
      <c r="T182" s="235"/>
      <c r="U182" s="306"/>
      <c r="V182" s="306">
        <f>Таблица191012[[#This Row],[Грунт]]+Таблица191012[[#This Row],[Щебень]]+Таблица191012[[#This Row],[Асфальт]]+Таблица191012[[#This Row],[Бетон]]</f>
        <v>0.65</v>
      </c>
      <c r="W182" s="306"/>
      <c r="X182" s="306"/>
      <c r="Y182" s="306"/>
      <c r="Z182" s="306"/>
      <c r="AG182" s="234">
        <v>74</v>
      </c>
    </row>
    <row r="183" spans="1:33" s="234" customFormat="1" ht="46.5" x14ac:dyDescent="0.35">
      <c r="A183" s="146">
        <v>182</v>
      </c>
      <c r="B183" s="146" t="s">
        <v>350</v>
      </c>
      <c r="C183" s="146" t="s">
        <v>351</v>
      </c>
      <c r="D183" s="146" t="s">
        <v>543</v>
      </c>
      <c r="E183" s="254">
        <f>Таблица191012[[#This Row],[Грунт]]+Таблица191012[[#This Row],[Щебень]]+Таблица191012[[#This Row],[Асфальт]]+Таблица191012[[#This Row],[Бетон]]</f>
        <v>0.75</v>
      </c>
      <c r="F183" s="315">
        <v>0.75</v>
      </c>
      <c r="G183" s="140"/>
      <c r="H183" s="249"/>
      <c r="I183" s="139"/>
      <c r="J183" s="232"/>
      <c r="N183" s="234" t="b">
        <f>OR(Таблица191012[[#This Row],[Щебень]]&gt;0,Таблица191012[[#This Row],[Асфальт]]&gt;0,Таблица191012[[#This Row],[Бетон]]&gt;0)</f>
        <v>0</v>
      </c>
      <c r="Q183" s="234">
        <v>179</v>
      </c>
      <c r="S183" s="235"/>
      <c r="T183" s="235"/>
      <c r="U183" s="306"/>
      <c r="V183" s="306">
        <f>Таблица191012[[#This Row],[Грунт]]+Таблица191012[[#This Row],[Щебень]]+Таблица191012[[#This Row],[Асфальт]]+Таблица191012[[#This Row],[Бетон]]</f>
        <v>0.75</v>
      </c>
      <c r="W183" s="306"/>
      <c r="X183" s="306"/>
      <c r="Y183" s="306"/>
      <c r="Z183" s="306"/>
      <c r="AG183" s="234">
        <v>75</v>
      </c>
    </row>
    <row r="184" spans="1:33" s="234" customFormat="1" ht="46.5" x14ac:dyDescent="0.35">
      <c r="A184" s="146">
        <v>183</v>
      </c>
      <c r="B184" s="146" t="s">
        <v>352</v>
      </c>
      <c r="C184" s="146" t="s">
        <v>353</v>
      </c>
      <c r="D184" s="146" t="s">
        <v>543</v>
      </c>
      <c r="E184" s="254">
        <f>Таблица191012[[#This Row],[Грунт]]+Таблица191012[[#This Row],[Щебень]]+Таблица191012[[#This Row],[Асфальт]]+Таблица191012[[#This Row],[Бетон]]</f>
        <v>0.6</v>
      </c>
      <c r="F184" s="315">
        <v>0.6</v>
      </c>
      <c r="G184" s="140"/>
      <c r="H184" s="249"/>
      <c r="I184" s="139"/>
      <c r="J184" s="232"/>
      <c r="N184" s="234" t="b">
        <f>OR(Таблица191012[[#This Row],[Щебень]]&gt;0,Таблица191012[[#This Row],[Асфальт]]&gt;0,Таблица191012[[#This Row],[Бетон]]&gt;0)</f>
        <v>0</v>
      </c>
      <c r="Q184" s="234">
        <v>180</v>
      </c>
      <c r="S184" s="235"/>
      <c r="T184" s="235"/>
      <c r="U184" s="306"/>
      <c r="V184" s="306">
        <f>Таблица191012[[#This Row],[Грунт]]+Таблица191012[[#This Row],[Щебень]]+Таблица191012[[#This Row],[Асфальт]]+Таблица191012[[#This Row],[Бетон]]</f>
        <v>0.6</v>
      </c>
      <c r="W184" s="306"/>
      <c r="X184" s="306"/>
      <c r="Y184" s="306"/>
      <c r="Z184" s="306"/>
      <c r="AG184" s="234">
        <v>76</v>
      </c>
    </row>
    <row r="185" spans="1:33" s="234" customFormat="1" ht="46.5" x14ac:dyDescent="0.35">
      <c r="A185" s="146">
        <v>184</v>
      </c>
      <c r="B185" s="146" t="s">
        <v>354</v>
      </c>
      <c r="C185" s="146" t="s">
        <v>355</v>
      </c>
      <c r="D185" s="146" t="s">
        <v>543</v>
      </c>
      <c r="E185" s="254">
        <f>Таблица191012[[#This Row],[Грунт]]+Таблица191012[[#This Row],[Щебень]]+Таблица191012[[#This Row],[Асфальт]]+Таблица191012[[#This Row],[Бетон]]</f>
        <v>0.3</v>
      </c>
      <c r="F185" s="315">
        <v>0.3</v>
      </c>
      <c r="G185" s="140"/>
      <c r="H185" s="249"/>
      <c r="I185" s="139"/>
      <c r="J185" s="232"/>
      <c r="N185" s="234" t="b">
        <f>OR(Таблица191012[[#This Row],[Щебень]]&gt;0,Таблица191012[[#This Row],[Асфальт]]&gt;0,Таблица191012[[#This Row],[Бетон]]&gt;0)</f>
        <v>0</v>
      </c>
      <c r="Q185" s="234">
        <v>181</v>
      </c>
      <c r="S185" s="235"/>
      <c r="T185" s="235"/>
      <c r="U185" s="306"/>
      <c r="V185" s="306">
        <f>Таблица191012[[#This Row],[Грунт]]+Таблица191012[[#This Row],[Щебень]]+Таблица191012[[#This Row],[Асфальт]]+Таблица191012[[#This Row],[Бетон]]</f>
        <v>0.3</v>
      </c>
      <c r="W185" s="306"/>
      <c r="X185" s="306"/>
      <c r="Y185" s="306"/>
      <c r="Z185" s="306"/>
      <c r="AG185" s="234">
        <v>77</v>
      </c>
    </row>
    <row r="186" spans="1:33" s="234" customFormat="1" ht="46.5" x14ac:dyDescent="0.35">
      <c r="A186" s="146">
        <v>185</v>
      </c>
      <c r="B186" s="146" t="s">
        <v>356</v>
      </c>
      <c r="C186" s="146" t="s">
        <v>357</v>
      </c>
      <c r="D186" s="146" t="s">
        <v>544</v>
      </c>
      <c r="E186" s="254">
        <f>Таблица191012[[#This Row],[Грунт]]+Таблица191012[[#This Row],[Щебень]]+Таблица191012[[#This Row],[Асфальт]]+Таблица191012[[#This Row],[Бетон]]</f>
        <v>3.0449999999999999</v>
      </c>
      <c r="F186" s="311">
        <v>2.0390000000000001</v>
      </c>
      <c r="G186" s="140">
        <v>0.98799999999999999</v>
      </c>
      <c r="H186" s="249">
        <v>1.7999999999999999E-2</v>
      </c>
      <c r="I186" s="139"/>
      <c r="J186" s="232"/>
      <c r="N186" s="234" t="b">
        <f>OR(Таблица191012[[#This Row],[Щебень]]&gt;0,Таблица191012[[#This Row],[Асфальт]]&gt;0,Таблица191012[[#This Row],[Бетон]]&gt;0)</f>
        <v>1</v>
      </c>
      <c r="O186" s="234">
        <v>1</v>
      </c>
      <c r="Q186" s="234">
        <v>182</v>
      </c>
      <c r="S186" s="235"/>
      <c r="T186" s="235"/>
      <c r="U186" s="306"/>
      <c r="V186" s="306">
        <f>Таблица191012[[#This Row],[Грунт]]+Таблица191012[[#This Row],[Щебень]]+Таблица191012[[#This Row],[Асфальт]]+Таблица191012[[#This Row],[Бетон]]</f>
        <v>3.0449999999999999</v>
      </c>
      <c r="W186" s="306"/>
      <c r="X186" s="306"/>
      <c r="Y186" s="306"/>
      <c r="Z186" s="306"/>
      <c r="AG186" s="234">
        <v>78</v>
      </c>
    </row>
    <row r="187" spans="1:33" s="234" customFormat="1" ht="46.5" x14ac:dyDescent="0.35">
      <c r="A187" s="146">
        <v>186</v>
      </c>
      <c r="B187" s="146" t="s">
        <v>358</v>
      </c>
      <c r="C187" s="146" t="s">
        <v>359</v>
      </c>
      <c r="D187" s="146" t="s">
        <v>544</v>
      </c>
      <c r="E187" s="254">
        <f>Таблица191012[[#This Row],[Грунт]]+Таблица191012[[#This Row],[Щебень]]+Таблица191012[[#This Row],[Асфальт]]+Таблица191012[[#This Row],[Бетон]]</f>
        <v>1</v>
      </c>
      <c r="F187" s="311">
        <v>1</v>
      </c>
      <c r="G187" s="140"/>
      <c r="H187" s="249"/>
      <c r="I187" s="139"/>
      <c r="J187" s="232"/>
      <c r="N187" s="234" t="b">
        <f>OR(Таблица191012[[#This Row],[Щебень]]&gt;0,Таблица191012[[#This Row],[Асфальт]]&gt;0,Таблица191012[[#This Row],[Бетон]]&gt;0)</f>
        <v>0</v>
      </c>
      <c r="Q187" s="234">
        <v>183</v>
      </c>
      <c r="S187" s="235"/>
      <c r="T187" s="235"/>
      <c r="U187" s="306"/>
      <c r="V187" s="306">
        <f>Таблица191012[[#This Row],[Грунт]]+Таблица191012[[#This Row],[Щебень]]+Таблица191012[[#This Row],[Асфальт]]+Таблица191012[[#This Row],[Бетон]]</f>
        <v>1</v>
      </c>
      <c r="W187" s="306"/>
      <c r="X187" s="306"/>
      <c r="Y187" s="306"/>
      <c r="Z187" s="306"/>
      <c r="AG187" s="234">
        <v>79</v>
      </c>
    </row>
    <row r="188" spans="1:33" s="234" customFormat="1" ht="46.5" x14ac:dyDescent="0.35">
      <c r="A188" s="146">
        <v>187</v>
      </c>
      <c r="B188" s="146" t="s">
        <v>360</v>
      </c>
      <c r="C188" s="146" t="s">
        <v>361</v>
      </c>
      <c r="D188" s="146" t="s">
        <v>544</v>
      </c>
      <c r="E188" s="254">
        <f>Таблица191012[[#This Row],[Грунт]]+Таблица191012[[#This Row],[Щебень]]+Таблица191012[[#This Row],[Асфальт]]+Таблица191012[[#This Row],[Бетон]]</f>
        <v>1.8</v>
      </c>
      <c r="F188" s="311">
        <v>1.8</v>
      </c>
      <c r="G188" s="140"/>
      <c r="H188" s="249"/>
      <c r="I188" s="139"/>
      <c r="J188" s="232"/>
      <c r="N188" s="234" t="b">
        <f>OR(Таблица191012[[#This Row],[Щебень]]&gt;0,Таблица191012[[#This Row],[Асфальт]]&gt;0,Таблица191012[[#This Row],[Бетон]]&gt;0)</f>
        <v>0</v>
      </c>
      <c r="Q188" s="234">
        <v>184</v>
      </c>
      <c r="S188" s="235"/>
      <c r="T188" s="235"/>
      <c r="U188" s="306"/>
      <c r="V188" s="306">
        <f>Таблица191012[[#This Row],[Грунт]]+Таблица191012[[#This Row],[Щебень]]+Таблица191012[[#This Row],[Асфальт]]+Таблица191012[[#This Row],[Бетон]]</f>
        <v>1.8</v>
      </c>
      <c r="W188" s="306"/>
      <c r="X188" s="306"/>
      <c r="Y188" s="306"/>
      <c r="Z188" s="306"/>
      <c r="AG188" s="234">
        <v>80</v>
      </c>
    </row>
    <row r="189" spans="1:33" s="234" customFormat="1" ht="46.5" x14ac:dyDescent="0.35">
      <c r="A189" s="146">
        <v>188</v>
      </c>
      <c r="B189" s="146" t="s">
        <v>362</v>
      </c>
      <c r="C189" s="146" t="s">
        <v>363</v>
      </c>
      <c r="D189" s="146" t="s">
        <v>544</v>
      </c>
      <c r="E189" s="254">
        <f>Таблица191012[[#This Row],[Грунт]]+Таблица191012[[#This Row],[Щебень]]+Таблица191012[[#This Row],[Асфальт]]+Таблица191012[[#This Row],[Бетон]]</f>
        <v>1</v>
      </c>
      <c r="F189" s="311">
        <v>1</v>
      </c>
      <c r="G189" s="140"/>
      <c r="H189" s="249"/>
      <c r="I189" s="139"/>
      <c r="J189" s="232"/>
      <c r="N189" s="234" t="b">
        <f>OR(Таблица191012[[#This Row],[Щебень]]&gt;0,Таблица191012[[#This Row],[Асфальт]]&gt;0,Таблица191012[[#This Row],[Бетон]]&gt;0)</f>
        <v>0</v>
      </c>
      <c r="Q189" s="234">
        <v>185</v>
      </c>
      <c r="S189" s="235"/>
      <c r="T189" s="235"/>
      <c r="U189" s="306"/>
      <c r="V189" s="306">
        <f>Таблица191012[[#This Row],[Грунт]]+Таблица191012[[#This Row],[Щебень]]+Таблица191012[[#This Row],[Асфальт]]+Таблица191012[[#This Row],[Бетон]]</f>
        <v>1</v>
      </c>
      <c r="W189" s="306"/>
      <c r="X189" s="306"/>
      <c r="Y189" s="306"/>
      <c r="Z189" s="306"/>
      <c r="AG189" s="234">
        <v>81</v>
      </c>
    </row>
    <row r="190" spans="1:33" s="234" customFormat="1" ht="46.5" x14ac:dyDescent="0.35">
      <c r="A190" s="146">
        <v>189</v>
      </c>
      <c r="B190" s="146" t="s">
        <v>364</v>
      </c>
      <c r="C190" s="146" t="s">
        <v>365</v>
      </c>
      <c r="D190" s="146" t="s">
        <v>544</v>
      </c>
      <c r="E190" s="254">
        <f>Таблица191012[[#This Row],[Грунт]]+Таблица191012[[#This Row],[Щебень]]+Таблица191012[[#This Row],[Асфальт]]+Таблица191012[[#This Row],[Бетон]]</f>
        <v>1.1000000000000001</v>
      </c>
      <c r="F190" s="311">
        <v>1.1000000000000001</v>
      </c>
      <c r="G190" s="140"/>
      <c r="H190" s="249"/>
      <c r="I190" s="139"/>
      <c r="J190" s="232"/>
      <c r="N190" s="234" t="b">
        <f>OR(Таблица191012[[#This Row],[Щебень]]&gt;0,Таблица191012[[#This Row],[Асфальт]]&gt;0,Таблица191012[[#This Row],[Бетон]]&gt;0)</f>
        <v>0</v>
      </c>
      <c r="Q190" s="234">
        <v>186</v>
      </c>
      <c r="S190" s="235"/>
      <c r="T190" s="235"/>
      <c r="U190" s="306"/>
      <c r="V190" s="306">
        <f>Таблица191012[[#This Row],[Грунт]]+Таблица191012[[#This Row],[Щебень]]+Таблица191012[[#This Row],[Асфальт]]+Таблица191012[[#This Row],[Бетон]]</f>
        <v>1.1000000000000001</v>
      </c>
      <c r="W190" s="306"/>
      <c r="X190" s="306"/>
      <c r="Y190" s="306"/>
      <c r="Z190" s="306"/>
      <c r="AG190" s="234">
        <v>82</v>
      </c>
    </row>
    <row r="191" spans="1:33" s="234" customFormat="1" ht="46.5" x14ac:dyDescent="0.35">
      <c r="A191" s="146">
        <v>190</v>
      </c>
      <c r="B191" s="146" t="s">
        <v>334</v>
      </c>
      <c r="C191" s="146" t="s">
        <v>366</v>
      </c>
      <c r="D191" s="146" t="s">
        <v>545</v>
      </c>
      <c r="E191" s="254">
        <f>Таблица191012[[#This Row],[Грунт]]+Таблица191012[[#This Row],[Щебень]]+Таблица191012[[#This Row],[Асфальт]]+Таблица191012[[#This Row],[Бетон]]</f>
        <v>4.32</v>
      </c>
      <c r="F191" s="311">
        <v>2</v>
      </c>
      <c r="G191" s="140">
        <v>2</v>
      </c>
      <c r="H191" s="249"/>
      <c r="I191" s="139">
        <v>0.32</v>
      </c>
      <c r="J191" s="232"/>
      <c r="K191" s="233" t="s">
        <v>557</v>
      </c>
      <c r="N191" s="234" t="b">
        <f>OR(Таблица191012[[#This Row],[Щебень]]&gt;0,Таблица191012[[#This Row],[Асфальт]]&gt;0,Таблица191012[[#This Row],[Бетон]]&gt;0)</f>
        <v>1</v>
      </c>
      <c r="O191" s="234">
        <v>1</v>
      </c>
      <c r="Q191" s="234">
        <v>187</v>
      </c>
      <c r="S191" s="235"/>
      <c r="T191" s="235"/>
      <c r="U191" s="306"/>
      <c r="V191" s="306">
        <f>Таблица191012[[#This Row],[Грунт]]+Таблица191012[[#This Row],[Щебень]]+Таблица191012[[#This Row],[Асфальт]]+Таблица191012[[#This Row],[Бетон]]</f>
        <v>4.32</v>
      </c>
      <c r="W191" s="306"/>
      <c r="X191" s="306"/>
      <c r="Y191" s="306"/>
      <c r="Z191" s="306"/>
      <c r="AG191" s="234">
        <v>83</v>
      </c>
    </row>
    <row r="192" spans="1:33" s="234" customFormat="1" ht="46.5" x14ac:dyDescent="0.35">
      <c r="A192" s="146">
        <v>191</v>
      </c>
      <c r="B192" s="146" t="s">
        <v>336</v>
      </c>
      <c r="C192" s="146" t="s">
        <v>367</v>
      </c>
      <c r="D192" s="146" t="s">
        <v>545</v>
      </c>
      <c r="E192" s="254">
        <f>Таблица191012[[#This Row],[Грунт]]+Таблица191012[[#This Row],[Щебень]]+Таблица191012[[#This Row],[Асфальт]]+Таблица191012[[#This Row],[Бетон]]</f>
        <v>2.2000000000000002</v>
      </c>
      <c r="F192" s="311">
        <v>0.7</v>
      </c>
      <c r="G192" s="140"/>
      <c r="H192" s="249">
        <v>1.5</v>
      </c>
      <c r="I192" s="139"/>
      <c r="J192" s="232"/>
      <c r="K192" s="233" t="s">
        <v>557</v>
      </c>
      <c r="N192" s="234" t="b">
        <f>OR(Таблица191012[[#This Row],[Щебень]]&gt;0,Таблица191012[[#This Row],[Асфальт]]&gt;0,Таблица191012[[#This Row],[Бетон]]&gt;0)</f>
        <v>1</v>
      </c>
      <c r="O192" s="234">
        <v>1</v>
      </c>
      <c r="Q192" s="234">
        <v>188</v>
      </c>
      <c r="S192" s="235"/>
      <c r="T192" s="235"/>
      <c r="U192" s="306"/>
      <c r="V192" s="306">
        <f>Таблица191012[[#This Row],[Грунт]]+Таблица191012[[#This Row],[Щебень]]+Таблица191012[[#This Row],[Асфальт]]+Таблица191012[[#This Row],[Бетон]]</f>
        <v>2.2000000000000002</v>
      </c>
      <c r="W192" s="306"/>
      <c r="X192" s="306"/>
      <c r="Y192" s="306"/>
      <c r="Z192" s="306"/>
      <c r="AG192" s="234">
        <v>84</v>
      </c>
    </row>
    <row r="193" spans="1:33" s="234" customFormat="1" ht="46.5" x14ac:dyDescent="0.35">
      <c r="A193" s="146">
        <v>192</v>
      </c>
      <c r="B193" s="146" t="s">
        <v>338</v>
      </c>
      <c r="C193" s="146" t="s">
        <v>368</v>
      </c>
      <c r="D193" s="146" t="s">
        <v>545</v>
      </c>
      <c r="E193" s="254">
        <f>Таблица191012[[#This Row],[Грунт]]+Таблица191012[[#This Row],[Щебень]]+Таблица191012[[#This Row],[Асфальт]]+Таблица191012[[#This Row],[Бетон]]</f>
        <v>1.5</v>
      </c>
      <c r="F193" s="311">
        <v>1.5</v>
      </c>
      <c r="G193" s="140"/>
      <c r="H193" s="249"/>
      <c r="I193" s="139"/>
      <c r="J193" s="232"/>
      <c r="N193" s="234" t="b">
        <f>OR(Таблица191012[[#This Row],[Щебень]]&gt;0,Таблица191012[[#This Row],[Асфальт]]&gt;0,Таблица191012[[#This Row],[Бетон]]&gt;0)</f>
        <v>0</v>
      </c>
      <c r="Q193" s="234">
        <v>189</v>
      </c>
      <c r="S193" s="235"/>
      <c r="T193" s="235"/>
      <c r="U193" s="306"/>
      <c r="V193" s="306">
        <f>Таблица191012[[#This Row],[Грунт]]+Таблица191012[[#This Row],[Щебень]]+Таблица191012[[#This Row],[Асфальт]]+Таблица191012[[#This Row],[Бетон]]</f>
        <v>1.5</v>
      </c>
      <c r="W193" s="306"/>
      <c r="X193" s="306"/>
      <c r="Y193" s="306"/>
      <c r="Z193" s="306"/>
      <c r="AG193" s="234">
        <v>85</v>
      </c>
    </row>
    <row r="194" spans="1:33" s="234" customFormat="1" ht="46.5" x14ac:dyDescent="0.35">
      <c r="A194" s="146">
        <v>193</v>
      </c>
      <c r="B194" s="146" t="s">
        <v>567</v>
      </c>
      <c r="C194" s="146" t="s">
        <v>369</v>
      </c>
      <c r="D194" s="146" t="s">
        <v>545</v>
      </c>
      <c r="E194" s="254">
        <f>Таблица191012[[#This Row],[Грунт]]+Таблица191012[[#This Row],[Щебень]]+Таблица191012[[#This Row],[Асфальт]]+Таблица191012[[#This Row],[Бетон]]</f>
        <v>2.1</v>
      </c>
      <c r="F194" s="311">
        <v>2.1</v>
      </c>
      <c r="G194" s="140"/>
      <c r="H194" s="249"/>
      <c r="I194" s="139"/>
      <c r="J194" s="232"/>
      <c r="N194" s="238" t="b">
        <f>OR(Таблица191012[[#This Row],[Щебень]]&gt;0,Таблица191012[[#This Row],[Асфальт]]&gt;0,Таблица191012[[#This Row],[Бетон]]&gt;0)</f>
        <v>0</v>
      </c>
      <c r="Q194" s="234">
        <v>190</v>
      </c>
      <c r="S194" s="235"/>
      <c r="T194" s="235"/>
      <c r="U194" s="306"/>
      <c r="V194" s="306">
        <f>Таблица191012[[#This Row],[Грунт]]+Таблица191012[[#This Row],[Щебень]]+Таблица191012[[#This Row],[Асфальт]]+Таблица191012[[#This Row],[Бетон]]</f>
        <v>2.1</v>
      </c>
      <c r="W194" s="306"/>
      <c r="X194" s="306"/>
      <c r="Y194" s="306"/>
      <c r="Z194" s="306"/>
      <c r="AG194" s="234">
        <v>86</v>
      </c>
    </row>
    <row r="195" spans="1:33" s="234" customFormat="1" ht="46.5" x14ac:dyDescent="0.35">
      <c r="A195" s="146">
        <v>194</v>
      </c>
      <c r="B195" s="146" t="s">
        <v>342</v>
      </c>
      <c r="C195" s="146" t="s">
        <v>370</v>
      </c>
      <c r="D195" s="146" t="s">
        <v>545</v>
      </c>
      <c r="E195" s="254">
        <f>Таблица191012[[#This Row],[Грунт]]+Таблица191012[[#This Row],[Щебень]]+Таблица191012[[#This Row],[Асфальт]]+Таблица191012[[#This Row],[Бетон]]</f>
        <v>1</v>
      </c>
      <c r="F195" s="311">
        <v>1</v>
      </c>
      <c r="G195" s="140"/>
      <c r="H195" s="249"/>
      <c r="I195" s="139"/>
      <c r="J195" s="232"/>
      <c r="N195" s="234" t="b">
        <f>OR(Таблица191012[[#This Row],[Щебень]]&gt;0,Таблица191012[[#This Row],[Асфальт]]&gt;0,Таблица191012[[#This Row],[Бетон]]&gt;0)</f>
        <v>0</v>
      </c>
      <c r="Q195" s="234">
        <v>191</v>
      </c>
      <c r="S195" s="235"/>
      <c r="T195" s="235"/>
      <c r="U195" s="306"/>
      <c r="V195" s="306">
        <f>Таблица191012[[#This Row],[Грунт]]+Таблица191012[[#This Row],[Щебень]]+Таблица191012[[#This Row],[Асфальт]]+Таблица191012[[#This Row],[Бетон]]</f>
        <v>1</v>
      </c>
      <c r="W195" s="306"/>
      <c r="X195" s="306"/>
      <c r="Y195" s="306"/>
      <c r="Z195" s="306"/>
      <c r="AG195" s="234">
        <v>87</v>
      </c>
    </row>
    <row r="196" spans="1:33" s="234" customFormat="1" ht="46.5" x14ac:dyDescent="0.35">
      <c r="A196" s="146">
        <v>195</v>
      </c>
      <c r="B196" s="146" t="s">
        <v>344</v>
      </c>
      <c r="C196" s="146" t="s">
        <v>371</v>
      </c>
      <c r="D196" s="146" t="s">
        <v>545</v>
      </c>
      <c r="E196" s="254">
        <f>Таблица191012[[#This Row],[Грунт]]+Таблица191012[[#This Row],[Щебень]]+Таблица191012[[#This Row],[Асфальт]]+Таблица191012[[#This Row],[Бетон]]</f>
        <v>1.5</v>
      </c>
      <c r="F196" s="311">
        <v>1.5</v>
      </c>
      <c r="G196" s="140"/>
      <c r="H196" s="249"/>
      <c r="I196" s="139"/>
      <c r="J196" s="232"/>
      <c r="N196" s="234" t="b">
        <f>OR(Таблица191012[[#This Row],[Щебень]]&gt;0,Таблица191012[[#This Row],[Асфальт]]&gt;0,Таблица191012[[#This Row],[Бетон]]&gt;0)</f>
        <v>0</v>
      </c>
      <c r="Q196" s="234">
        <v>192</v>
      </c>
      <c r="S196" s="235"/>
      <c r="T196" s="235"/>
      <c r="U196" s="306"/>
      <c r="V196" s="306">
        <f>Таблица191012[[#This Row],[Грунт]]+Таблица191012[[#This Row],[Щебень]]+Таблица191012[[#This Row],[Асфальт]]+Таблица191012[[#This Row],[Бетон]]</f>
        <v>1.5</v>
      </c>
      <c r="W196" s="306"/>
      <c r="X196" s="306"/>
      <c r="Y196" s="306"/>
      <c r="Z196" s="306"/>
      <c r="AG196" s="234">
        <v>88</v>
      </c>
    </row>
    <row r="197" spans="1:33" s="234" customFormat="1" ht="46.5" x14ac:dyDescent="0.35">
      <c r="A197" s="146">
        <v>196</v>
      </c>
      <c r="B197" s="146" t="s">
        <v>346</v>
      </c>
      <c r="C197" s="146" t="s">
        <v>372</v>
      </c>
      <c r="D197" s="146" t="s">
        <v>545</v>
      </c>
      <c r="E197" s="254">
        <f>Таблица191012[[#This Row],[Грунт]]+Таблица191012[[#This Row],[Щебень]]+Таблица191012[[#This Row],[Асфальт]]+Таблица191012[[#This Row],[Бетон]]</f>
        <v>2.5</v>
      </c>
      <c r="F197" s="311">
        <v>2.5</v>
      </c>
      <c r="G197" s="140"/>
      <c r="H197" s="249"/>
      <c r="I197" s="139"/>
      <c r="J197" s="232"/>
      <c r="N197" s="234" t="b">
        <f>OR(Таблица191012[[#This Row],[Щебень]]&gt;0,Таблица191012[[#This Row],[Асфальт]]&gt;0,Таблица191012[[#This Row],[Бетон]]&gt;0)</f>
        <v>0</v>
      </c>
      <c r="Q197" s="234">
        <v>193</v>
      </c>
      <c r="S197" s="235"/>
      <c r="T197" s="235"/>
      <c r="U197" s="306"/>
      <c r="V197" s="306">
        <f>Таблица191012[[#This Row],[Грунт]]+Таблица191012[[#This Row],[Щебень]]+Таблица191012[[#This Row],[Асфальт]]+Таблица191012[[#This Row],[Бетон]]</f>
        <v>2.5</v>
      </c>
      <c r="W197" s="306"/>
      <c r="X197" s="306"/>
      <c r="Y197" s="306"/>
      <c r="Z197" s="306"/>
      <c r="AG197" s="234">
        <v>89</v>
      </c>
    </row>
    <row r="198" spans="1:33" s="234" customFormat="1" ht="46.5" x14ac:dyDescent="0.35">
      <c r="A198" s="146">
        <v>197</v>
      </c>
      <c r="B198" s="146" t="s">
        <v>348</v>
      </c>
      <c r="C198" s="146" t="s">
        <v>373</v>
      </c>
      <c r="D198" s="146" t="s">
        <v>545</v>
      </c>
      <c r="E198" s="254">
        <f>Таблица191012[[#This Row],[Грунт]]+Таблица191012[[#This Row],[Щебень]]+Таблица191012[[#This Row],[Асфальт]]+Таблица191012[[#This Row],[Бетон]]</f>
        <v>1.5</v>
      </c>
      <c r="F198" s="311">
        <v>1.5</v>
      </c>
      <c r="G198" s="140"/>
      <c r="H198" s="249"/>
      <c r="I198" s="139"/>
      <c r="J198" s="232"/>
      <c r="N198" s="234" t="b">
        <f>OR(Таблица191012[[#This Row],[Щебень]]&gt;0,Таблица191012[[#This Row],[Асфальт]]&gt;0,Таблица191012[[#This Row],[Бетон]]&gt;0)</f>
        <v>0</v>
      </c>
      <c r="Q198" s="234">
        <v>194</v>
      </c>
      <c r="S198" s="235"/>
      <c r="T198" s="235"/>
      <c r="U198" s="306"/>
      <c r="V198" s="306">
        <f>Таблица191012[[#This Row],[Грунт]]+Таблица191012[[#This Row],[Щебень]]+Таблица191012[[#This Row],[Асфальт]]+Таблица191012[[#This Row],[Бетон]]</f>
        <v>1.5</v>
      </c>
      <c r="W198" s="306"/>
      <c r="X198" s="306"/>
      <c r="Y198" s="306"/>
      <c r="Z198" s="306"/>
      <c r="AG198" s="234">
        <v>90</v>
      </c>
    </row>
    <row r="199" spans="1:33" s="234" customFormat="1" ht="46.5" x14ac:dyDescent="0.35">
      <c r="A199" s="146">
        <v>198</v>
      </c>
      <c r="B199" s="146" t="s">
        <v>350</v>
      </c>
      <c r="C199" s="146" t="s">
        <v>374</v>
      </c>
      <c r="D199" s="146" t="s">
        <v>545</v>
      </c>
      <c r="E199" s="254">
        <f>Таблица191012[[#This Row],[Грунт]]+Таблица191012[[#This Row],[Щебень]]+Таблица191012[[#This Row],[Асфальт]]+Таблица191012[[#This Row],[Бетон]]</f>
        <v>1.7</v>
      </c>
      <c r="F199" s="311">
        <v>0.2</v>
      </c>
      <c r="G199" s="140">
        <v>0</v>
      </c>
      <c r="H199" s="249">
        <v>1.5</v>
      </c>
      <c r="I199" s="139"/>
      <c r="J199" s="232"/>
      <c r="K199" s="233" t="s">
        <v>557</v>
      </c>
      <c r="N199" s="234" t="b">
        <f>OR(Таблица191012[[#This Row],[Щебень]]&gt;0,Таблица191012[[#This Row],[Асфальт]]&gt;0,Таблица191012[[#This Row],[Бетон]]&gt;0)</f>
        <v>1</v>
      </c>
      <c r="O199" s="234">
        <v>1</v>
      </c>
      <c r="Q199" s="234">
        <v>195</v>
      </c>
      <c r="S199" s="235"/>
      <c r="T199" s="235"/>
      <c r="U199" s="306"/>
      <c r="V199" s="306">
        <f>Таблица191012[[#This Row],[Грунт]]+Таблица191012[[#This Row],[Щебень]]+Таблица191012[[#This Row],[Асфальт]]+Таблица191012[[#This Row],[Бетон]]</f>
        <v>1.7</v>
      </c>
      <c r="W199" s="306"/>
      <c r="X199" s="306"/>
      <c r="Y199" s="306"/>
      <c r="Z199" s="306"/>
      <c r="AG199" s="234">
        <v>91</v>
      </c>
    </row>
    <row r="200" spans="1:33" s="234" customFormat="1" ht="46.5" x14ac:dyDescent="0.35">
      <c r="A200" s="146">
        <v>199</v>
      </c>
      <c r="B200" s="146" t="s">
        <v>352</v>
      </c>
      <c r="C200" s="146" t="s">
        <v>375</v>
      </c>
      <c r="D200" s="146" t="s">
        <v>545</v>
      </c>
      <c r="E200" s="254">
        <f>Таблица191012[[#This Row],[Грунт]]+Таблица191012[[#This Row],[Щебень]]+Таблица191012[[#This Row],[Асфальт]]+Таблица191012[[#This Row],[Бетон]]</f>
        <v>1.2</v>
      </c>
      <c r="F200" s="311">
        <v>1.2</v>
      </c>
      <c r="G200" s="140"/>
      <c r="H200" s="249"/>
      <c r="I200" s="139"/>
      <c r="J200" s="232"/>
      <c r="N200" s="234" t="b">
        <f>OR(Таблица191012[[#This Row],[Щебень]]&gt;0,Таблица191012[[#This Row],[Асфальт]]&gt;0,Таблица191012[[#This Row],[Бетон]]&gt;0)</f>
        <v>0</v>
      </c>
      <c r="Q200" s="234">
        <v>196</v>
      </c>
      <c r="S200" s="235"/>
      <c r="T200" s="235"/>
      <c r="U200" s="306"/>
      <c r="V200" s="306">
        <f>Таблица191012[[#This Row],[Грунт]]+Таблица191012[[#This Row],[Щебень]]+Таблица191012[[#This Row],[Асфальт]]+Таблица191012[[#This Row],[Бетон]]</f>
        <v>1.2</v>
      </c>
      <c r="W200" s="306"/>
      <c r="X200" s="306"/>
      <c r="Y200" s="306"/>
      <c r="Z200" s="306"/>
      <c r="AG200" s="234">
        <v>92</v>
      </c>
    </row>
    <row r="201" spans="1:33" s="234" customFormat="1" ht="46.5" x14ac:dyDescent="0.35">
      <c r="A201" s="146">
        <v>200</v>
      </c>
      <c r="B201" s="146" t="s">
        <v>354</v>
      </c>
      <c r="C201" s="146" t="s">
        <v>376</v>
      </c>
      <c r="D201" s="146" t="s">
        <v>545</v>
      </c>
      <c r="E201" s="254">
        <f>Таблица191012[[#This Row],[Грунт]]+Таблица191012[[#This Row],[Щебень]]+Таблица191012[[#This Row],[Асфальт]]+Таблица191012[[#This Row],[Бетон]]</f>
        <v>1</v>
      </c>
      <c r="F201" s="311">
        <v>1</v>
      </c>
      <c r="G201" s="140"/>
      <c r="H201" s="249"/>
      <c r="I201" s="139"/>
      <c r="J201" s="232"/>
      <c r="N201" s="234" t="b">
        <f>OR(Таблица191012[[#This Row],[Щебень]]&gt;0,Таблица191012[[#This Row],[Асфальт]]&gt;0,Таблица191012[[#This Row],[Бетон]]&gt;0)</f>
        <v>0</v>
      </c>
      <c r="Q201" s="234">
        <v>197</v>
      </c>
      <c r="S201" s="235"/>
      <c r="T201" s="235"/>
      <c r="U201" s="306"/>
      <c r="V201" s="306">
        <f>Таблица191012[[#This Row],[Грунт]]+Таблица191012[[#This Row],[Щебень]]+Таблица191012[[#This Row],[Асфальт]]+Таблица191012[[#This Row],[Бетон]]</f>
        <v>1</v>
      </c>
      <c r="W201" s="306"/>
      <c r="X201" s="306"/>
      <c r="Y201" s="306"/>
      <c r="Z201" s="306"/>
      <c r="AG201" s="234">
        <v>93</v>
      </c>
    </row>
    <row r="202" spans="1:33" s="234" customFormat="1" ht="46.5" x14ac:dyDescent="0.35">
      <c r="A202" s="146">
        <v>201</v>
      </c>
      <c r="B202" s="146" t="s">
        <v>377</v>
      </c>
      <c r="C202" s="146" t="s">
        <v>378</v>
      </c>
      <c r="D202" s="146" t="s">
        <v>546</v>
      </c>
      <c r="E202" s="254">
        <f>Таблица191012[[#This Row],[Грунт]]+Таблица191012[[#This Row],[Щебень]]+Таблица191012[[#This Row],[Асфальт]]+Таблица191012[[#This Row],[Бетон]]</f>
        <v>1.5</v>
      </c>
      <c r="F202" s="311">
        <v>1.3</v>
      </c>
      <c r="G202" s="140"/>
      <c r="H202" s="249">
        <v>0.2</v>
      </c>
      <c r="I202" s="139"/>
      <c r="J202" s="232"/>
      <c r="L202" s="233"/>
      <c r="M202" s="233"/>
      <c r="N202" s="234" t="b">
        <f>OR(Таблица191012[[#This Row],[Щебень]]&gt;0,Таблица191012[[#This Row],[Асфальт]]&gt;0,Таблица191012[[#This Row],[Бетон]]&gt;0)</f>
        <v>1</v>
      </c>
      <c r="O202" s="234">
        <v>1</v>
      </c>
      <c r="Q202" s="234">
        <v>198</v>
      </c>
      <c r="S202" s="235"/>
      <c r="T202" s="235"/>
      <c r="U202" s="306"/>
      <c r="V202" s="306">
        <f>Таблица191012[[#This Row],[Грунт]]+Таблица191012[[#This Row],[Щебень]]+Таблица191012[[#This Row],[Асфальт]]+Таблица191012[[#This Row],[Бетон]]</f>
        <v>1.5</v>
      </c>
      <c r="W202" s="306"/>
      <c r="X202" s="306"/>
      <c r="Y202" s="306"/>
      <c r="Z202" s="306"/>
      <c r="AG202" s="234">
        <v>94</v>
      </c>
    </row>
    <row r="203" spans="1:33" s="234" customFormat="1" ht="46.5" x14ac:dyDescent="0.35">
      <c r="A203" s="146">
        <v>202</v>
      </c>
      <c r="B203" s="146" t="s">
        <v>379</v>
      </c>
      <c r="C203" s="146" t="s">
        <v>380</v>
      </c>
      <c r="D203" s="146" t="s">
        <v>546</v>
      </c>
      <c r="E203" s="254">
        <f>Таблица191012[[#This Row],[Грунт]]+Таблица191012[[#This Row],[Щебень]]+Таблица191012[[#This Row],[Асфальт]]+Таблица191012[[#This Row],[Бетон]]</f>
        <v>2</v>
      </c>
      <c r="F203" s="311">
        <v>2</v>
      </c>
      <c r="G203" s="140"/>
      <c r="H203" s="249"/>
      <c r="I203" s="139"/>
      <c r="J203" s="232"/>
      <c r="L203" s="233"/>
      <c r="M203" s="233"/>
      <c r="N203" s="234" t="b">
        <f>OR(Таблица191012[[#This Row],[Щебень]]&gt;0,Таблица191012[[#This Row],[Асфальт]]&gt;0,Таблица191012[[#This Row],[Бетон]]&gt;0)</f>
        <v>0</v>
      </c>
      <c r="O203" s="234">
        <f>H41+H46+H202</f>
        <v>8.6999999999999993</v>
      </c>
      <c r="Q203" s="234">
        <v>199</v>
      </c>
      <c r="S203" s="235"/>
      <c r="T203" s="235"/>
      <c r="U203" s="306"/>
      <c r="V203" s="306">
        <f>Таблица191012[[#This Row],[Грунт]]+Таблица191012[[#This Row],[Щебень]]+Таблица191012[[#This Row],[Асфальт]]+Таблица191012[[#This Row],[Бетон]]</f>
        <v>2</v>
      </c>
      <c r="W203" s="306"/>
      <c r="X203" s="306"/>
      <c r="Y203" s="306"/>
      <c r="Z203" s="306"/>
      <c r="AG203" s="234">
        <v>95</v>
      </c>
    </row>
    <row r="204" spans="1:33" s="234" customFormat="1" ht="46.5" x14ac:dyDescent="0.35">
      <c r="A204" s="146">
        <v>203</v>
      </c>
      <c r="B204" s="146" t="s">
        <v>381</v>
      </c>
      <c r="C204" s="146" t="s">
        <v>382</v>
      </c>
      <c r="D204" s="146" t="s">
        <v>546</v>
      </c>
      <c r="E204" s="254">
        <f>Таблица191012[[#This Row],[Грунт]]+Таблица191012[[#This Row],[Щебень]]+Таблица191012[[#This Row],[Асфальт]]+Таблица191012[[#This Row],[Бетон]]</f>
        <v>2</v>
      </c>
      <c r="F204" s="311">
        <v>2</v>
      </c>
      <c r="G204" s="140"/>
      <c r="H204" s="249"/>
      <c r="I204" s="139"/>
      <c r="J204" s="232"/>
      <c r="L204" s="233"/>
      <c r="M204" s="233"/>
      <c r="N204" s="234" t="b">
        <f>OR(Таблица191012[[#This Row],[Щебень]]&gt;0,Таблица191012[[#This Row],[Асфальт]]&gt;0,Таблица191012[[#This Row],[Бетон]]&gt;0)</f>
        <v>0</v>
      </c>
      <c r="Q204" s="234">
        <v>200</v>
      </c>
      <c r="S204" s="235"/>
      <c r="T204" s="235"/>
      <c r="U204" s="306"/>
      <c r="V204" s="306">
        <f>Таблица191012[[#This Row],[Грунт]]+Таблица191012[[#This Row],[Щебень]]+Таблица191012[[#This Row],[Асфальт]]+Таблица191012[[#This Row],[Бетон]]</f>
        <v>2</v>
      </c>
      <c r="W204" s="306"/>
      <c r="X204" s="306"/>
      <c r="Y204" s="306"/>
      <c r="Z204" s="306"/>
      <c r="AG204" s="234">
        <v>96</v>
      </c>
    </row>
    <row r="205" spans="1:33" s="234" customFormat="1" ht="46.5" x14ac:dyDescent="0.35">
      <c r="A205" s="146">
        <v>204</v>
      </c>
      <c r="B205" s="146" t="s">
        <v>383</v>
      </c>
      <c r="C205" s="146" t="s">
        <v>384</v>
      </c>
      <c r="D205" s="146" t="s">
        <v>546</v>
      </c>
      <c r="E205" s="254">
        <f>Таблица191012[[#This Row],[Грунт]]+Таблица191012[[#This Row],[Щебень]]+Таблица191012[[#This Row],[Асфальт]]+Таблица191012[[#This Row],[Бетон]]</f>
        <v>1</v>
      </c>
      <c r="F205" s="311">
        <v>1</v>
      </c>
      <c r="G205" s="140"/>
      <c r="H205" s="249"/>
      <c r="I205" s="139"/>
      <c r="J205" s="232"/>
      <c r="N205" s="234" t="b">
        <f>OR(Таблица191012[[#This Row],[Щебень]]&gt;0,Таблица191012[[#This Row],[Асфальт]]&gt;0,Таблица191012[[#This Row],[Бетон]]&gt;0)</f>
        <v>0</v>
      </c>
      <c r="Q205" s="234">
        <v>201</v>
      </c>
      <c r="S205" s="235"/>
      <c r="T205" s="235"/>
      <c r="U205" s="306"/>
      <c r="V205" s="306">
        <f>Таблица191012[[#This Row],[Грунт]]+Таблица191012[[#This Row],[Щебень]]+Таблица191012[[#This Row],[Асфальт]]+Таблица191012[[#This Row],[Бетон]]</f>
        <v>1</v>
      </c>
      <c r="W205" s="306"/>
      <c r="X205" s="306"/>
      <c r="Y205" s="306"/>
      <c r="Z205" s="306"/>
      <c r="AG205" s="234">
        <v>97</v>
      </c>
    </row>
    <row r="206" spans="1:33" s="234" customFormat="1" ht="46.5" x14ac:dyDescent="0.35">
      <c r="A206" s="146">
        <v>205</v>
      </c>
      <c r="B206" s="146" t="s">
        <v>385</v>
      </c>
      <c r="C206" s="146" t="s">
        <v>386</v>
      </c>
      <c r="D206" s="146" t="s">
        <v>546</v>
      </c>
      <c r="E206" s="254">
        <f>Таблица191012[[#This Row],[Грунт]]+Таблица191012[[#This Row],[Щебень]]+Таблица191012[[#This Row],[Асфальт]]+Таблица191012[[#This Row],[Бетон]]</f>
        <v>3</v>
      </c>
      <c r="F206" s="311">
        <v>3</v>
      </c>
      <c r="G206" s="140"/>
      <c r="H206" s="249"/>
      <c r="I206" s="139"/>
      <c r="J206" s="232"/>
      <c r="N206" s="234" t="b">
        <f>OR(Таблица191012[[#This Row],[Щебень]]&gt;0,Таблица191012[[#This Row],[Асфальт]]&gt;0,Таблица191012[[#This Row],[Бетон]]&gt;0)</f>
        <v>0</v>
      </c>
      <c r="Q206" s="234">
        <v>202</v>
      </c>
      <c r="S206" s="235"/>
      <c r="T206" s="235"/>
      <c r="U206" s="306"/>
      <c r="V206" s="306">
        <f>Таблица191012[[#This Row],[Грунт]]+Таблица191012[[#This Row],[Щебень]]+Таблица191012[[#This Row],[Асфальт]]+Таблица191012[[#This Row],[Бетон]]</f>
        <v>3</v>
      </c>
      <c r="W206" s="306"/>
      <c r="X206" s="306"/>
      <c r="Y206" s="306"/>
      <c r="Z206" s="306"/>
      <c r="AG206" s="234">
        <v>98</v>
      </c>
    </row>
    <row r="207" spans="1:33" s="234" customFormat="1" ht="46.5" x14ac:dyDescent="0.35">
      <c r="A207" s="146">
        <v>206</v>
      </c>
      <c r="B207" s="146" t="s">
        <v>387</v>
      </c>
      <c r="C207" s="146" t="s">
        <v>388</v>
      </c>
      <c r="D207" s="146" t="s">
        <v>546</v>
      </c>
      <c r="E207" s="254">
        <f>Таблица191012[[#This Row],[Грунт]]+Таблица191012[[#This Row],[Щебень]]+Таблица191012[[#This Row],[Асфальт]]+Таблица191012[[#This Row],[Бетон]]</f>
        <v>1</v>
      </c>
      <c r="F207" s="311">
        <v>1</v>
      </c>
      <c r="G207" s="140"/>
      <c r="H207" s="249"/>
      <c r="I207" s="139"/>
      <c r="J207" s="232"/>
      <c r="N207" s="234" t="b">
        <f>OR(Таблица191012[[#This Row],[Щебень]]&gt;0,Таблица191012[[#This Row],[Асфальт]]&gt;0,Таблица191012[[#This Row],[Бетон]]&gt;0)</f>
        <v>0</v>
      </c>
      <c r="Q207" s="234">
        <v>203</v>
      </c>
      <c r="S207" s="235"/>
      <c r="T207" s="235"/>
      <c r="U207" s="306"/>
      <c r="V207" s="306">
        <f>Таблица191012[[#This Row],[Грунт]]+Таблица191012[[#This Row],[Щебень]]+Таблица191012[[#This Row],[Асфальт]]+Таблица191012[[#This Row],[Бетон]]</f>
        <v>1</v>
      </c>
      <c r="W207" s="306"/>
      <c r="X207" s="306"/>
      <c r="Y207" s="306"/>
      <c r="Z207" s="306"/>
      <c r="AG207" s="234">
        <v>99</v>
      </c>
    </row>
    <row r="208" spans="1:33" s="234" customFormat="1" ht="46.5" x14ac:dyDescent="0.35">
      <c r="A208" s="146">
        <v>207</v>
      </c>
      <c r="B208" s="146" t="s">
        <v>389</v>
      </c>
      <c r="C208" s="146" t="s">
        <v>390</v>
      </c>
      <c r="D208" s="146" t="s">
        <v>546</v>
      </c>
      <c r="E208" s="254">
        <f>Таблица191012[[#This Row],[Грунт]]+Таблица191012[[#This Row],[Щебень]]+Таблица191012[[#This Row],[Асфальт]]+Таблица191012[[#This Row],[Бетон]]</f>
        <v>1.5</v>
      </c>
      <c r="F208" s="311">
        <v>1.5</v>
      </c>
      <c r="G208" s="140"/>
      <c r="H208" s="249"/>
      <c r="I208" s="139"/>
      <c r="J208" s="232"/>
      <c r="N208" s="234" t="b">
        <f>OR(Таблица191012[[#This Row],[Щебень]]&gt;0,Таблица191012[[#This Row],[Асфальт]]&gt;0,Таблица191012[[#This Row],[Бетон]]&gt;0)</f>
        <v>0</v>
      </c>
      <c r="Q208" s="234">
        <v>204</v>
      </c>
      <c r="S208" s="235"/>
      <c r="T208" s="235"/>
      <c r="U208" s="306"/>
      <c r="V208" s="306">
        <f>Таблица191012[[#This Row],[Грунт]]+Таблица191012[[#This Row],[Щебень]]+Таблица191012[[#This Row],[Асфальт]]+Таблица191012[[#This Row],[Бетон]]</f>
        <v>1.5</v>
      </c>
      <c r="W208" s="306"/>
      <c r="X208" s="306"/>
      <c r="Y208" s="306"/>
      <c r="Z208" s="306"/>
      <c r="AG208" s="234">
        <v>100</v>
      </c>
    </row>
    <row r="209" spans="1:33" s="234" customFormat="1" ht="46.5" x14ac:dyDescent="0.35">
      <c r="A209" s="146">
        <v>208</v>
      </c>
      <c r="B209" s="146" t="s">
        <v>391</v>
      </c>
      <c r="C209" s="146" t="s">
        <v>392</v>
      </c>
      <c r="D209" s="146" t="s">
        <v>546</v>
      </c>
      <c r="E209" s="254">
        <f>Таблица191012[[#This Row],[Грунт]]+Таблица191012[[#This Row],[Щебень]]+Таблица191012[[#This Row],[Асфальт]]+Таблица191012[[#This Row],[Бетон]]</f>
        <v>1.5</v>
      </c>
      <c r="F209" s="311">
        <v>1.5</v>
      </c>
      <c r="G209" s="140"/>
      <c r="H209" s="249"/>
      <c r="I209" s="139"/>
      <c r="J209" s="232"/>
      <c r="N209" s="234" t="b">
        <f>OR(Таблица191012[[#This Row],[Щебень]]&gt;0,Таблица191012[[#This Row],[Асфальт]]&gt;0,Таблица191012[[#This Row],[Бетон]]&gt;0)</f>
        <v>0</v>
      </c>
      <c r="Q209" s="234">
        <v>205</v>
      </c>
      <c r="S209" s="235"/>
      <c r="T209" s="235"/>
      <c r="U209" s="306"/>
      <c r="V209" s="306">
        <f>Таблица191012[[#This Row],[Грунт]]+Таблица191012[[#This Row],[Щебень]]+Таблица191012[[#This Row],[Асфальт]]+Таблица191012[[#This Row],[Бетон]]</f>
        <v>1.5</v>
      </c>
      <c r="W209" s="306"/>
      <c r="X209" s="306"/>
      <c r="Y209" s="306"/>
      <c r="Z209" s="306"/>
      <c r="AG209" s="234">
        <v>101</v>
      </c>
    </row>
    <row r="210" spans="1:33" s="234" customFormat="1" ht="46.5" x14ac:dyDescent="0.35">
      <c r="A210" s="146">
        <v>209</v>
      </c>
      <c r="B210" s="146" t="s">
        <v>393</v>
      </c>
      <c r="C210" s="146" t="s">
        <v>394</v>
      </c>
      <c r="D210" s="146" t="s">
        <v>546</v>
      </c>
      <c r="E210" s="254">
        <f>Таблица191012[[#This Row],[Грунт]]+Таблица191012[[#This Row],[Щебень]]+Таблица191012[[#This Row],[Асфальт]]+Таблица191012[[#This Row],[Бетон]]</f>
        <v>1.5</v>
      </c>
      <c r="F210" s="311">
        <v>1.5</v>
      </c>
      <c r="G210" s="140"/>
      <c r="H210" s="249"/>
      <c r="I210" s="139"/>
      <c r="J210" s="232"/>
      <c r="N210" s="234" t="b">
        <f>OR(Таблица191012[[#This Row],[Щебень]]&gt;0,Таблица191012[[#This Row],[Асфальт]]&gt;0,Таблица191012[[#This Row],[Бетон]]&gt;0)</f>
        <v>0</v>
      </c>
      <c r="Q210" s="234">
        <v>206</v>
      </c>
      <c r="S210" s="235"/>
      <c r="T210" s="235"/>
      <c r="U210" s="306"/>
      <c r="V210" s="306">
        <f>Таблица191012[[#This Row],[Грунт]]+Таблица191012[[#This Row],[Щебень]]+Таблица191012[[#This Row],[Асфальт]]+Таблица191012[[#This Row],[Бетон]]</f>
        <v>1.5</v>
      </c>
      <c r="W210" s="306"/>
      <c r="X210" s="306"/>
      <c r="Y210" s="306"/>
      <c r="Z210" s="306"/>
      <c r="AG210" s="234">
        <v>102</v>
      </c>
    </row>
    <row r="211" spans="1:33" s="234" customFormat="1" ht="46.5" x14ac:dyDescent="0.35">
      <c r="A211" s="146">
        <v>210</v>
      </c>
      <c r="B211" s="146" t="s">
        <v>395</v>
      </c>
      <c r="C211" s="146" t="s">
        <v>396</v>
      </c>
      <c r="D211" s="146" t="s">
        <v>546</v>
      </c>
      <c r="E211" s="254">
        <f>Таблица191012[[#This Row],[Грунт]]+Таблица191012[[#This Row],[Щебень]]+Таблица191012[[#This Row],[Асфальт]]+Таблица191012[[#This Row],[Бетон]]</f>
        <v>1</v>
      </c>
      <c r="F211" s="311">
        <v>1</v>
      </c>
      <c r="G211" s="140"/>
      <c r="H211" s="249"/>
      <c r="I211" s="139"/>
      <c r="J211" s="232"/>
      <c r="N211" s="234" t="b">
        <f>OR(Таблица191012[[#This Row],[Щебень]]&gt;0,Таблица191012[[#This Row],[Асфальт]]&gt;0,Таблица191012[[#This Row],[Бетон]]&gt;0)</f>
        <v>0</v>
      </c>
      <c r="Q211" s="234">
        <v>207</v>
      </c>
      <c r="S211" s="235"/>
      <c r="T211" s="235"/>
      <c r="U211" s="306"/>
      <c r="V211" s="306">
        <f>Таблица191012[[#This Row],[Грунт]]+Таблица191012[[#This Row],[Щебень]]+Таблица191012[[#This Row],[Асфальт]]+Таблица191012[[#This Row],[Бетон]]</f>
        <v>1</v>
      </c>
      <c r="W211" s="306"/>
      <c r="X211" s="306"/>
      <c r="Y211" s="306"/>
      <c r="Z211" s="306"/>
      <c r="AG211" s="234">
        <v>103</v>
      </c>
    </row>
    <row r="212" spans="1:33" s="234" customFormat="1" ht="46.5" x14ac:dyDescent="0.35">
      <c r="A212" s="146">
        <v>211</v>
      </c>
      <c r="B212" s="146" t="s">
        <v>397</v>
      </c>
      <c r="C212" s="146" t="s">
        <v>398</v>
      </c>
      <c r="D212" s="146" t="s">
        <v>547</v>
      </c>
      <c r="E212" s="254">
        <f>Таблица191012[[#This Row],[Грунт]]+Таблица191012[[#This Row],[Щебень]]+Таблица191012[[#This Row],[Асфальт]]+Таблица191012[[#This Row],[Бетон]]</f>
        <v>5.0999999999999996</v>
      </c>
      <c r="F212" s="311">
        <v>3</v>
      </c>
      <c r="G212" s="140">
        <v>0</v>
      </c>
      <c r="H212" s="249">
        <v>2.1</v>
      </c>
      <c r="I212" s="139"/>
      <c r="J212" s="232"/>
      <c r="K212" s="233" t="s">
        <v>557</v>
      </c>
      <c r="N212" s="234" t="b">
        <f>OR(Таблица191012[[#This Row],[Щебень]]&gt;0,Таблица191012[[#This Row],[Асфальт]]&gt;0,Таблица191012[[#This Row],[Бетон]]&gt;0)</f>
        <v>1</v>
      </c>
      <c r="O212" s="234">
        <v>1</v>
      </c>
      <c r="Q212" s="234">
        <v>208</v>
      </c>
      <c r="S212" s="235"/>
      <c r="T212" s="235"/>
      <c r="U212" s="306"/>
      <c r="V212" s="306">
        <f>Таблица191012[[#This Row],[Грунт]]+Таблица191012[[#This Row],[Щебень]]+Таблица191012[[#This Row],[Асфальт]]+Таблица191012[[#This Row],[Бетон]]</f>
        <v>5.0999999999999996</v>
      </c>
      <c r="W212" s="306"/>
      <c r="X212" s="306"/>
      <c r="Y212" s="306"/>
      <c r="Z212" s="306"/>
      <c r="AG212" s="234">
        <v>104</v>
      </c>
    </row>
    <row r="213" spans="1:33" s="234" customFormat="1" ht="46.5" x14ac:dyDescent="0.35">
      <c r="A213" s="146">
        <v>212</v>
      </c>
      <c r="B213" s="146" t="s">
        <v>399</v>
      </c>
      <c r="C213" s="146" t="s">
        <v>400</v>
      </c>
      <c r="D213" s="146" t="s">
        <v>547</v>
      </c>
      <c r="E213" s="254">
        <f>Таблица191012[[#This Row],[Грунт]]+Таблица191012[[#This Row],[Щебень]]+Таблица191012[[#This Row],[Асфальт]]+Таблица191012[[#This Row],[Бетон]]</f>
        <v>1.5</v>
      </c>
      <c r="F213" s="311"/>
      <c r="G213" s="140">
        <v>0.5</v>
      </c>
      <c r="H213" s="249">
        <v>1</v>
      </c>
      <c r="I213" s="139"/>
      <c r="J213" s="232"/>
      <c r="N213" s="234" t="b">
        <f>OR(Таблица191012[[#This Row],[Щебень]]&gt;0,Таблица191012[[#This Row],[Асфальт]]&gt;0,Таблица191012[[#This Row],[Бетон]]&gt;0)</f>
        <v>1</v>
      </c>
      <c r="O213" s="234">
        <v>1</v>
      </c>
      <c r="Q213" s="234">
        <v>209</v>
      </c>
      <c r="S213" s="235"/>
      <c r="T213" s="235"/>
      <c r="U213" s="306"/>
      <c r="V213" s="306">
        <f>Таблица191012[[#This Row],[Грунт]]+Таблица191012[[#This Row],[Щебень]]+Таблица191012[[#This Row],[Асфальт]]+Таблица191012[[#This Row],[Бетон]]</f>
        <v>1.5</v>
      </c>
      <c r="W213" s="306"/>
      <c r="X213" s="306"/>
      <c r="Y213" s="306"/>
      <c r="Z213" s="306"/>
      <c r="AG213" s="234">
        <v>105</v>
      </c>
    </row>
    <row r="214" spans="1:33" s="234" customFormat="1" ht="46.5" x14ac:dyDescent="0.35">
      <c r="A214" s="146">
        <v>213</v>
      </c>
      <c r="B214" s="146" t="s">
        <v>401</v>
      </c>
      <c r="C214" s="146" t="s">
        <v>402</v>
      </c>
      <c r="D214" s="146" t="s">
        <v>547</v>
      </c>
      <c r="E214" s="254">
        <f>Таблица191012[[#This Row],[Грунт]]+Таблица191012[[#This Row],[Щебень]]+Таблица191012[[#This Row],[Асфальт]]+Таблица191012[[#This Row],[Бетон]]</f>
        <v>0.5</v>
      </c>
      <c r="F214" s="311">
        <v>0.2</v>
      </c>
      <c r="G214" s="140"/>
      <c r="H214" s="249">
        <v>0.3</v>
      </c>
      <c r="I214" s="139"/>
      <c r="J214" s="232"/>
      <c r="N214" s="234" t="b">
        <f>OR(Таблица191012[[#This Row],[Щебень]]&gt;0,Таблица191012[[#This Row],[Асфальт]]&gt;0,Таблица191012[[#This Row],[Бетон]]&gt;0)</f>
        <v>1</v>
      </c>
      <c r="O214" s="234">
        <v>1</v>
      </c>
      <c r="Q214" s="234">
        <v>210</v>
      </c>
      <c r="S214" s="235"/>
      <c r="T214" s="235"/>
      <c r="U214" s="306"/>
      <c r="V214" s="306">
        <f>Таблица191012[[#This Row],[Грунт]]+Таблица191012[[#This Row],[Щебень]]+Таблица191012[[#This Row],[Асфальт]]+Таблица191012[[#This Row],[Бетон]]</f>
        <v>0.5</v>
      </c>
      <c r="W214" s="306"/>
      <c r="X214" s="306"/>
      <c r="Y214" s="306"/>
      <c r="Z214" s="306"/>
      <c r="AG214" s="234">
        <v>106</v>
      </c>
    </row>
    <row r="215" spans="1:33" s="234" customFormat="1" ht="46.5" x14ac:dyDescent="0.35">
      <c r="A215" s="146">
        <v>214</v>
      </c>
      <c r="B215" s="146" t="s">
        <v>403</v>
      </c>
      <c r="C215" s="146" t="s">
        <v>404</v>
      </c>
      <c r="D215" s="146" t="s">
        <v>547</v>
      </c>
      <c r="E215" s="254">
        <f>Таблица191012[[#This Row],[Грунт]]+Таблица191012[[#This Row],[Щебень]]+Таблица191012[[#This Row],[Асфальт]]+Таблица191012[[#This Row],[Бетон]]</f>
        <v>2.6</v>
      </c>
      <c r="F215" s="311">
        <v>1.6</v>
      </c>
      <c r="G215" s="140"/>
      <c r="H215" s="249">
        <v>1</v>
      </c>
      <c r="I215" s="139"/>
      <c r="J215" s="232"/>
      <c r="N215" s="234" t="b">
        <f>OR(Таблица191012[[#This Row],[Щебень]]&gt;0,Таблица191012[[#This Row],[Асфальт]]&gt;0,Таблица191012[[#This Row],[Бетон]]&gt;0)</f>
        <v>1</v>
      </c>
      <c r="O215" s="234">
        <v>1</v>
      </c>
      <c r="Q215" s="234">
        <v>211</v>
      </c>
      <c r="S215" s="235"/>
      <c r="T215" s="235"/>
      <c r="U215" s="306"/>
      <c r="V215" s="306">
        <f>Таблица191012[[#This Row],[Грунт]]+Таблица191012[[#This Row],[Щебень]]+Таблица191012[[#This Row],[Асфальт]]+Таблица191012[[#This Row],[Бетон]]</f>
        <v>2.6</v>
      </c>
      <c r="W215" s="306"/>
      <c r="X215" s="306"/>
      <c r="Y215" s="306"/>
      <c r="Z215" s="306"/>
      <c r="AG215" s="234">
        <v>107</v>
      </c>
    </row>
    <row r="216" spans="1:33" s="234" customFormat="1" ht="46.5" x14ac:dyDescent="0.35">
      <c r="A216" s="146">
        <v>215</v>
      </c>
      <c r="B216" s="146" t="s">
        <v>405</v>
      </c>
      <c r="C216" s="146" t="s">
        <v>406</v>
      </c>
      <c r="D216" s="146" t="s">
        <v>547</v>
      </c>
      <c r="E216" s="254">
        <f>Таблица191012[[#This Row],[Грунт]]+Таблица191012[[#This Row],[Щебень]]+Таблица191012[[#This Row],[Асфальт]]+Таблица191012[[#This Row],[Бетон]]</f>
        <v>0.6</v>
      </c>
      <c r="F216" s="311"/>
      <c r="G216" s="140">
        <v>0.6</v>
      </c>
      <c r="H216" s="249"/>
      <c r="I216" s="139"/>
      <c r="J216" s="232"/>
      <c r="N216" s="234" t="b">
        <f>OR(Таблица191012[[#This Row],[Щебень]]&gt;0,Таблица191012[[#This Row],[Асфальт]]&gt;0,Таблица191012[[#This Row],[Бетон]]&gt;0)</f>
        <v>1</v>
      </c>
      <c r="O216" s="234">
        <v>1</v>
      </c>
      <c r="Q216" s="234">
        <v>212</v>
      </c>
      <c r="S216" s="235"/>
      <c r="T216" s="235"/>
      <c r="U216" s="306"/>
      <c r="V216" s="306">
        <f>Таблица191012[[#This Row],[Грунт]]+Таблица191012[[#This Row],[Щебень]]+Таблица191012[[#This Row],[Асфальт]]+Таблица191012[[#This Row],[Бетон]]</f>
        <v>0.6</v>
      </c>
      <c r="W216" s="306"/>
      <c r="X216" s="306"/>
      <c r="Y216" s="306"/>
      <c r="Z216" s="306"/>
      <c r="AG216" s="234">
        <v>108</v>
      </c>
    </row>
    <row r="217" spans="1:33" s="234" customFormat="1" ht="46.5" x14ac:dyDescent="0.35">
      <c r="A217" s="146">
        <v>216</v>
      </c>
      <c r="B217" s="146" t="s">
        <v>407</v>
      </c>
      <c r="C217" s="146" t="s">
        <v>408</v>
      </c>
      <c r="D217" s="146" t="s">
        <v>547</v>
      </c>
      <c r="E217" s="254">
        <f>Таблица191012[[#This Row],[Грунт]]+Таблица191012[[#This Row],[Щебень]]+Таблица191012[[#This Row],[Асфальт]]+Таблица191012[[#This Row],[Бетон]]</f>
        <v>0.7</v>
      </c>
      <c r="F217" s="311">
        <v>0.7</v>
      </c>
      <c r="G217" s="140"/>
      <c r="H217" s="249"/>
      <c r="I217" s="139"/>
      <c r="J217" s="232"/>
      <c r="N217" s="234" t="b">
        <f>OR(Таблица191012[[#This Row],[Щебень]]&gt;0,Таблица191012[[#This Row],[Асфальт]]&gt;0,Таблица191012[[#This Row],[Бетон]]&gt;0)</f>
        <v>0</v>
      </c>
      <c r="Q217" s="234">
        <v>213</v>
      </c>
      <c r="S217" s="235"/>
      <c r="T217" s="235"/>
      <c r="U217" s="306"/>
      <c r="V217" s="306">
        <f>Таблица191012[[#This Row],[Грунт]]+Таблица191012[[#This Row],[Щебень]]+Таблица191012[[#This Row],[Асфальт]]+Таблица191012[[#This Row],[Бетон]]</f>
        <v>0.7</v>
      </c>
      <c r="W217" s="306"/>
      <c r="X217" s="306"/>
      <c r="Y217" s="306"/>
      <c r="Z217" s="306"/>
      <c r="AG217" s="234">
        <v>109</v>
      </c>
    </row>
    <row r="218" spans="1:33" s="234" customFormat="1" ht="46.5" x14ac:dyDescent="0.35">
      <c r="A218" s="146">
        <v>217</v>
      </c>
      <c r="B218" s="146" t="s">
        <v>409</v>
      </c>
      <c r="C218" s="146" t="s">
        <v>410</v>
      </c>
      <c r="D218" s="146" t="s">
        <v>547</v>
      </c>
      <c r="E218" s="254">
        <f>Таблица191012[[#This Row],[Грунт]]+Таблица191012[[#This Row],[Щебень]]+Таблица191012[[#This Row],[Асфальт]]+Таблица191012[[#This Row],[Бетон]]</f>
        <v>1</v>
      </c>
      <c r="F218" s="311">
        <v>0.5</v>
      </c>
      <c r="G218" s="140">
        <v>0.5</v>
      </c>
      <c r="H218" s="249"/>
      <c r="I218" s="139"/>
      <c r="J218" s="232"/>
      <c r="N218" s="234" t="b">
        <f>OR(Таблица191012[[#This Row],[Щебень]]&gt;0,Таблица191012[[#This Row],[Асфальт]]&gt;0,Таблица191012[[#This Row],[Бетон]]&gt;0)</f>
        <v>1</v>
      </c>
      <c r="O218" s="234">
        <v>1</v>
      </c>
      <c r="Q218" s="234">
        <v>214</v>
      </c>
      <c r="S218" s="235"/>
      <c r="T218" s="235"/>
      <c r="U218" s="306"/>
      <c r="V218" s="306">
        <f>Таблица191012[[#This Row],[Грунт]]+Таблица191012[[#This Row],[Щебень]]+Таблица191012[[#This Row],[Асфальт]]+Таблица191012[[#This Row],[Бетон]]</f>
        <v>1</v>
      </c>
      <c r="W218" s="306"/>
      <c r="X218" s="306"/>
      <c r="Y218" s="306"/>
      <c r="Z218" s="306"/>
      <c r="AG218" s="234">
        <v>110</v>
      </c>
    </row>
    <row r="219" spans="1:33" s="234" customFormat="1" ht="46.5" x14ac:dyDescent="0.35">
      <c r="A219" s="146">
        <v>218</v>
      </c>
      <c r="B219" s="146" t="s">
        <v>411</v>
      </c>
      <c r="C219" s="146" t="s">
        <v>412</v>
      </c>
      <c r="D219" s="146" t="s">
        <v>548</v>
      </c>
      <c r="E219" s="254">
        <f>Таблица191012[[#This Row],[Грунт]]+Таблица191012[[#This Row],[Щебень]]+Таблица191012[[#This Row],[Асфальт]]+Таблица191012[[#This Row],[Бетон]]</f>
        <v>4.9000000000000004</v>
      </c>
      <c r="F219" s="311">
        <v>0.3</v>
      </c>
      <c r="G219" s="140">
        <v>1.3</v>
      </c>
      <c r="H219" s="249">
        <v>3.3</v>
      </c>
      <c r="I219" s="139"/>
      <c r="J219" s="232"/>
      <c r="K219" s="233" t="s">
        <v>557</v>
      </c>
      <c r="N219" s="234" t="b">
        <f>OR(Таблица191012[[#This Row],[Щебень]]&gt;0,Таблица191012[[#This Row],[Асфальт]]&gt;0,Таблица191012[[#This Row],[Бетон]]&gt;0)</f>
        <v>1</v>
      </c>
      <c r="O219" s="234">
        <v>1</v>
      </c>
      <c r="Q219" s="234">
        <v>215</v>
      </c>
      <c r="S219" s="235"/>
      <c r="T219" s="235"/>
      <c r="U219" s="306"/>
      <c r="V219" s="306">
        <f>Таблица191012[[#This Row],[Грунт]]+Таблица191012[[#This Row],[Щебень]]+Таблица191012[[#This Row],[Асфальт]]+Таблица191012[[#This Row],[Бетон]]</f>
        <v>4.9000000000000004</v>
      </c>
      <c r="W219" s="306"/>
      <c r="X219" s="306"/>
      <c r="Y219" s="306"/>
      <c r="Z219" s="306"/>
      <c r="AG219" s="234">
        <v>111</v>
      </c>
    </row>
    <row r="220" spans="1:33" s="234" customFormat="1" ht="46.5" x14ac:dyDescent="0.35">
      <c r="A220" s="146">
        <v>219</v>
      </c>
      <c r="B220" s="146" t="s">
        <v>413</v>
      </c>
      <c r="C220" s="146" t="s">
        <v>414</v>
      </c>
      <c r="D220" s="146" t="s">
        <v>548</v>
      </c>
      <c r="E220" s="254">
        <f>Таблица191012[[#This Row],[Грунт]]+Таблица191012[[#This Row],[Щебень]]+Таблица191012[[#This Row],[Асфальт]]+Таблица191012[[#This Row],[Бетон]]</f>
        <v>1.0029999999999999</v>
      </c>
      <c r="F220" s="311">
        <v>0.16500000000000001</v>
      </c>
      <c r="G220" s="140"/>
      <c r="H220" s="249">
        <v>0.83799999999999997</v>
      </c>
      <c r="I220" s="139"/>
      <c r="J220" s="232"/>
      <c r="K220" s="234" t="s">
        <v>558</v>
      </c>
      <c r="N220" s="234" t="b">
        <f>OR(Таблица191012[[#This Row],[Щебень]]&gt;0,Таблица191012[[#This Row],[Асфальт]]&gt;0,Таблица191012[[#This Row],[Бетон]]&gt;0)</f>
        <v>1</v>
      </c>
      <c r="O220" s="234">
        <v>1</v>
      </c>
      <c r="Q220" s="234">
        <v>216</v>
      </c>
      <c r="S220" s="235"/>
      <c r="T220" s="235"/>
      <c r="U220" s="306"/>
      <c r="V220" s="306">
        <f>Таблица191012[[#This Row],[Грунт]]+Таблица191012[[#This Row],[Щебень]]+Таблица191012[[#This Row],[Асфальт]]+Таблица191012[[#This Row],[Бетон]]</f>
        <v>1.0029999999999999</v>
      </c>
      <c r="W220" s="306"/>
      <c r="X220" s="306"/>
      <c r="Y220" s="306"/>
      <c r="Z220" s="306"/>
      <c r="AG220" s="234">
        <v>112</v>
      </c>
    </row>
    <row r="221" spans="1:33" s="234" customFormat="1" ht="46.5" x14ac:dyDescent="0.35">
      <c r="A221" s="146">
        <v>220</v>
      </c>
      <c r="B221" s="146" t="s">
        <v>415</v>
      </c>
      <c r="C221" s="146" t="s">
        <v>416</v>
      </c>
      <c r="D221" s="146" t="s">
        <v>548</v>
      </c>
      <c r="E221" s="254">
        <f>Таблица191012[[#This Row],[Грунт]]+Таблица191012[[#This Row],[Щебень]]+Таблица191012[[#This Row],[Асфальт]]+Таблица191012[[#This Row],[Бетон]]</f>
        <v>1.7000000000000002</v>
      </c>
      <c r="F221" s="311">
        <v>1.3</v>
      </c>
      <c r="G221" s="140">
        <v>0.4</v>
      </c>
      <c r="H221" s="249"/>
      <c r="I221" s="139"/>
      <c r="J221" s="232"/>
      <c r="N221" s="234" t="b">
        <f>OR(Таблица191012[[#This Row],[Щебень]]&gt;0,Таблица191012[[#This Row],[Асфальт]]&gt;0,Таблица191012[[#This Row],[Бетон]]&gt;0)</f>
        <v>1</v>
      </c>
      <c r="O221" s="234">
        <v>1</v>
      </c>
      <c r="Q221" s="234">
        <v>217</v>
      </c>
      <c r="S221" s="235"/>
      <c r="T221" s="235"/>
      <c r="U221" s="306"/>
      <c r="V221" s="306">
        <f>Таблица191012[[#This Row],[Грунт]]+Таблица191012[[#This Row],[Щебень]]+Таблица191012[[#This Row],[Асфальт]]+Таблица191012[[#This Row],[Бетон]]</f>
        <v>1.7000000000000002</v>
      </c>
      <c r="W221" s="306"/>
      <c r="X221" s="306"/>
      <c r="Y221" s="306"/>
      <c r="Z221" s="306"/>
      <c r="AG221" s="234">
        <v>113</v>
      </c>
    </row>
    <row r="222" spans="1:33" s="234" customFormat="1" ht="46.5" x14ac:dyDescent="0.35">
      <c r="A222" s="146">
        <v>221</v>
      </c>
      <c r="B222" s="146" t="s">
        <v>417</v>
      </c>
      <c r="C222" s="146" t="s">
        <v>418</v>
      </c>
      <c r="D222" s="146" t="s">
        <v>548</v>
      </c>
      <c r="E222" s="254">
        <f>Таблица191012[[#This Row],[Грунт]]+Таблица191012[[#This Row],[Щебень]]+Таблица191012[[#This Row],[Асфальт]]+Таблица191012[[#This Row],[Бетон]]</f>
        <v>0.5</v>
      </c>
      <c r="F222" s="311">
        <v>0.5</v>
      </c>
      <c r="G222" s="140"/>
      <c r="H222" s="249"/>
      <c r="I222" s="139"/>
      <c r="J222" s="232"/>
      <c r="N222" s="234" t="b">
        <f>OR(Таблица191012[[#This Row],[Щебень]]&gt;0,Таблица191012[[#This Row],[Асфальт]]&gt;0,Таблица191012[[#This Row],[Бетон]]&gt;0)</f>
        <v>0</v>
      </c>
      <c r="Q222" s="234">
        <v>218</v>
      </c>
      <c r="S222" s="235"/>
      <c r="T222" s="235"/>
      <c r="U222" s="306"/>
      <c r="V222" s="306">
        <f>Таблица191012[[#This Row],[Грунт]]+Таблица191012[[#This Row],[Щебень]]+Таблица191012[[#This Row],[Асфальт]]+Таблица191012[[#This Row],[Бетон]]</f>
        <v>0.5</v>
      </c>
      <c r="W222" s="306"/>
      <c r="X222" s="306"/>
      <c r="Y222" s="306"/>
      <c r="Z222" s="306"/>
      <c r="AG222" s="234">
        <v>114</v>
      </c>
    </row>
    <row r="223" spans="1:33" s="234" customFormat="1" ht="46.5" x14ac:dyDescent="0.35">
      <c r="A223" s="146">
        <v>222</v>
      </c>
      <c r="B223" s="146" t="s">
        <v>419</v>
      </c>
      <c r="C223" s="146" t="s">
        <v>420</v>
      </c>
      <c r="D223" s="146" t="s">
        <v>548</v>
      </c>
      <c r="E223" s="254">
        <f>Таблица191012[[#This Row],[Грунт]]+Таблица191012[[#This Row],[Щебень]]+Таблица191012[[#This Row],[Асфальт]]+Таблица191012[[#This Row],[Бетон]]</f>
        <v>0.7</v>
      </c>
      <c r="F223" s="311">
        <v>0.7</v>
      </c>
      <c r="G223" s="140"/>
      <c r="H223" s="249"/>
      <c r="I223" s="139"/>
      <c r="J223" s="232"/>
      <c r="N223" s="234" t="b">
        <f>OR(Таблица191012[[#This Row],[Щебень]]&gt;0,Таблица191012[[#This Row],[Асфальт]]&gt;0,Таблица191012[[#This Row],[Бетон]]&gt;0)</f>
        <v>0</v>
      </c>
      <c r="Q223" s="234">
        <v>219</v>
      </c>
      <c r="S223" s="235"/>
      <c r="T223" s="235"/>
      <c r="U223" s="306"/>
      <c r="V223" s="306">
        <f>Таблица191012[[#This Row],[Грунт]]+Таблица191012[[#This Row],[Щебень]]+Таблица191012[[#This Row],[Асфальт]]+Таблица191012[[#This Row],[Бетон]]</f>
        <v>0.7</v>
      </c>
      <c r="W223" s="306"/>
      <c r="X223" s="306"/>
      <c r="Y223" s="306"/>
      <c r="Z223" s="306"/>
      <c r="AG223" s="234">
        <v>115</v>
      </c>
    </row>
    <row r="224" spans="1:33" s="234" customFormat="1" ht="46.5" x14ac:dyDescent="0.35">
      <c r="A224" s="146">
        <v>223</v>
      </c>
      <c r="B224" s="146" t="s">
        <v>421</v>
      </c>
      <c r="C224" s="146" t="s">
        <v>422</v>
      </c>
      <c r="D224" s="146" t="s">
        <v>548</v>
      </c>
      <c r="E224" s="254">
        <f>Таблица191012[[#This Row],[Грунт]]+Таблица191012[[#This Row],[Щебень]]+Таблица191012[[#This Row],[Асфальт]]+Таблица191012[[#This Row],[Бетон]]</f>
        <v>0.2</v>
      </c>
      <c r="F224" s="311"/>
      <c r="G224" s="140">
        <v>0.2</v>
      </c>
      <c r="H224" s="249"/>
      <c r="I224" s="139"/>
      <c r="J224" s="232"/>
      <c r="N224" s="234" t="b">
        <f>OR(Таблица191012[[#This Row],[Щебень]]&gt;0,Таблица191012[[#This Row],[Асфальт]]&gt;0,Таблица191012[[#This Row],[Бетон]]&gt;0)</f>
        <v>1</v>
      </c>
      <c r="O224" s="234">
        <v>1</v>
      </c>
      <c r="Q224" s="234">
        <v>220</v>
      </c>
      <c r="S224" s="235"/>
      <c r="T224" s="235"/>
      <c r="U224" s="306"/>
      <c r="V224" s="306">
        <f>Таблица191012[[#This Row],[Грунт]]+Таблица191012[[#This Row],[Щебень]]+Таблица191012[[#This Row],[Асфальт]]+Таблица191012[[#This Row],[Бетон]]</f>
        <v>0.2</v>
      </c>
      <c r="W224" s="306"/>
      <c r="X224" s="306"/>
      <c r="Y224" s="306"/>
      <c r="Z224" s="306"/>
      <c r="AG224" s="234">
        <v>116</v>
      </c>
    </row>
    <row r="225" spans="1:33" s="234" customFormat="1" ht="46.5" x14ac:dyDescent="0.35">
      <c r="A225" s="146">
        <v>224</v>
      </c>
      <c r="B225" s="146" t="s">
        <v>423</v>
      </c>
      <c r="C225" s="146" t="s">
        <v>424</v>
      </c>
      <c r="D225" s="146" t="s">
        <v>548</v>
      </c>
      <c r="E225" s="254">
        <f>Таблица191012[[#This Row],[Грунт]]+Таблица191012[[#This Row],[Щебень]]+Таблица191012[[#This Row],[Асфальт]]+Таблица191012[[#This Row],[Бетон]]</f>
        <v>0.4</v>
      </c>
      <c r="F225" s="311">
        <v>0.4</v>
      </c>
      <c r="G225" s="140"/>
      <c r="H225" s="249"/>
      <c r="I225" s="139"/>
      <c r="J225" s="232"/>
      <c r="N225" s="234" t="b">
        <f>OR(Таблица191012[[#This Row],[Щебень]]&gt;0,Таблица191012[[#This Row],[Асфальт]]&gt;0,Таблица191012[[#This Row],[Бетон]]&gt;0)</f>
        <v>0</v>
      </c>
      <c r="Q225" s="234">
        <v>221</v>
      </c>
      <c r="S225" s="235"/>
      <c r="T225" s="235"/>
      <c r="U225" s="306"/>
      <c r="V225" s="306">
        <f>Таблица191012[[#This Row],[Грунт]]+Таблица191012[[#This Row],[Щебень]]+Таблица191012[[#This Row],[Асфальт]]+Таблица191012[[#This Row],[Бетон]]</f>
        <v>0.4</v>
      </c>
      <c r="W225" s="306"/>
      <c r="X225" s="306"/>
      <c r="Y225" s="306"/>
      <c r="Z225" s="306"/>
      <c r="AG225" s="234">
        <v>117</v>
      </c>
    </row>
    <row r="226" spans="1:33" s="234" customFormat="1" ht="46.5" x14ac:dyDescent="0.35">
      <c r="A226" s="146">
        <v>225</v>
      </c>
      <c r="B226" s="146" t="s">
        <v>425</v>
      </c>
      <c r="C226" s="146" t="s">
        <v>426</v>
      </c>
      <c r="D226" s="146" t="s">
        <v>548</v>
      </c>
      <c r="E226" s="254">
        <f>Таблица191012[[#This Row],[Грунт]]+Таблица191012[[#This Row],[Щебень]]+Таблица191012[[#This Row],[Асфальт]]+Таблица191012[[#This Row],[Бетон]]</f>
        <v>9.5</v>
      </c>
      <c r="F226" s="311">
        <v>7.9</v>
      </c>
      <c r="G226" s="140"/>
      <c r="H226" s="249">
        <v>1.6</v>
      </c>
      <c r="I226" s="139"/>
      <c r="J226" s="232"/>
      <c r="K226" s="233" t="s">
        <v>557</v>
      </c>
      <c r="N226" s="234" t="b">
        <f>OR(Таблица191012[[#This Row],[Щебень]]&gt;0,Таблица191012[[#This Row],[Асфальт]]&gt;0,Таблица191012[[#This Row],[Бетон]]&gt;0)</f>
        <v>1</v>
      </c>
      <c r="O226" s="234">
        <v>1</v>
      </c>
      <c r="Q226" s="234">
        <v>222</v>
      </c>
      <c r="S226" s="235">
        <f>Таблица191012[[#This Row],[Протяженность(км)]]-9.5</f>
        <v>0</v>
      </c>
      <c r="T226" s="235">
        <f>9.5-Таблица191012[[#This Row],[Протяженность(км)]]</f>
        <v>0</v>
      </c>
      <c r="U226" s="306"/>
      <c r="V226" s="306">
        <f>Таблица191012[[#This Row],[Грунт]]+Таблица191012[[#This Row],[Щебень]]+Таблица191012[[#This Row],[Асфальт]]+Таблица191012[[#This Row],[Бетон]]</f>
        <v>9.5</v>
      </c>
      <c r="W226" s="306"/>
      <c r="X226" s="306"/>
      <c r="Y226" s="306"/>
      <c r="Z226" s="306"/>
      <c r="AG226" s="234">
        <v>118</v>
      </c>
    </row>
    <row r="227" spans="1:33" s="234" customFormat="1" ht="46.5" x14ac:dyDescent="0.35">
      <c r="A227" s="146">
        <v>226</v>
      </c>
      <c r="B227" s="146" t="s">
        <v>427</v>
      </c>
      <c r="C227" s="146" t="s">
        <v>428</v>
      </c>
      <c r="D227" s="146" t="s">
        <v>548</v>
      </c>
      <c r="E227" s="254">
        <f>Таблица191012[[#This Row],[Грунт]]+Таблица191012[[#This Row],[Щебень]]+Таблица191012[[#This Row],[Асфальт]]+Таблица191012[[#This Row],[Бетон]]</f>
        <v>0.9</v>
      </c>
      <c r="F227" s="311">
        <v>0.9</v>
      </c>
      <c r="G227" s="140">
        <v>0</v>
      </c>
      <c r="H227" s="249"/>
      <c r="I227" s="139"/>
      <c r="J227" s="232"/>
      <c r="N227" s="234" t="b">
        <f>OR(Таблица191012[[#This Row],[Щебень]]&gt;0,Таблица191012[[#This Row],[Асфальт]]&gt;0,Таблица191012[[#This Row],[Бетон]]&gt;0)</f>
        <v>0</v>
      </c>
      <c r="O227" s="234">
        <v>1</v>
      </c>
      <c r="Q227" s="234">
        <v>223</v>
      </c>
      <c r="S227" s="235"/>
      <c r="T227" s="235"/>
      <c r="U227" s="306"/>
      <c r="V227" s="306">
        <f>Таблица191012[[#This Row],[Грунт]]+Таблица191012[[#This Row],[Щебень]]+Таблица191012[[#This Row],[Асфальт]]+Таблица191012[[#This Row],[Бетон]]</f>
        <v>0.9</v>
      </c>
      <c r="W227" s="306"/>
      <c r="X227" s="306"/>
      <c r="Y227" s="306"/>
      <c r="Z227" s="306"/>
      <c r="AG227" s="234">
        <v>119</v>
      </c>
    </row>
    <row r="228" spans="1:33" s="234" customFormat="1" ht="46.5" x14ac:dyDescent="0.35">
      <c r="A228" s="146">
        <v>227</v>
      </c>
      <c r="B228" s="146" t="s">
        <v>429</v>
      </c>
      <c r="C228" s="146" t="s">
        <v>430</v>
      </c>
      <c r="D228" s="146" t="s">
        <v>548</v>
      </c>
      <c r="E228" s="254">
        <f>Таблица191012[[#This Row],[Грунт]]+Таблица191012[[#This Row],[Щебень]]+Таблица191012[[#This Row],[Асфальт]]+Таблица191012[[#This Row],[Бетон]]</f>
        <v>0.3</v>
      </c>
      <c r="F228" s="311"/>
      <c r="G228" s="140"/>
      <c r="H228" s="249">
        <v>0.3</v>
      </c>
      <c r="I228" s="139"/>
      <c r="J228" s="232"/>
      <c r="N228" s="234" t="b">
        <f>OR(Таблица191012[[#This Row],[Щебень]]&gt;0,Таблица191012[[#This Row],[Асфальт]]&gt;0,Таблица191012[[#This Row],[Бетон]]&gt;0)</f>
        <v>1</v>
      </c>
      <c r="O228" s="234">
        <v>1</v>
      </c>
      <c r="Q228" s="234">
        <v>224</v>
      </c>
      <c r="S228" s="235"/>
      <c r="T228" s="235"/>
      <c r="U228" s="306"/>
      <c r="V228" s="306">
        <f>Таблица191012[[#This Row],[Грунт]]+Таблица191012[[#This Row],[Щебень]]+Таблица191012[[#This Row],[Асфальт]]+Таблица191012[[#This Row],[Бетон]]</f>
        <v>0.3</v>
      </c>
      <c r="W228" s="306"/>
      <c r="X228" s="306"/>
      <c r="Y228" s="306"/>
      <c r="Z228" s="306"/>
      <c r="AG228" s="234">
        <v>120</v>
      </c>
    </row>
    <row r="229" spans="1:33" s="234" customFormat="1" ht="46.5" x14ac:dyDescent="0.35">
      <c r="A229" s="146">
        <v>228</v>
      </c>
      <c r="B229" s="146" t="s">
        <v>431</v>
      </c>
      <c r="C229" s="146" t="s">
        <v>432</v>
      </c>
      <c r="D229" s="146" t="s">
        <v>548</v>
      </c>
      <c r="E229" s="254">
        <f>Таблица191012[[#This Row],[Грунт]]+Таблица191012[[#This Row],[Щебень]]+Таблица191012[[#This Row],[Асфальт]]+Таблица191012[[#This Row],[Бетон]]</f>
        <v>0.5</v>
      </c>
      <c r="F229" s="311">
        <v>0.5</v>
      </c>
      <c r="G229" s="140"/>
      <c r="H229" s="249"/>
      <c r="I229" s="139"/>
      <c r="J229" s="232"/>
      <c r="N229" s="234" t="b">
        <f>OR(Таблица191012[[#This Row],[Щебень]]&gt;0,Таблица191012[[#This Row],[Асфальт]]&gt;0,Таблица191012[[#This Row],[Бетон]]&gt;0)</f>
        <v>0</v>
      </c>
      <c r="Q229" s="234">
        <v>225</v>
      </c>
      <c r="S229" s="235"/>
      <c r="T229" s="235"/>
      <c r="U229" s="306"/>
      <c r="V229" s="306">
        <f>Таблица191012[[#This Row],[Грунт]]+Таблица191012[[#This Row],[Щебень]]+Таблица191012[[#This Row],[Асфальт]]+Таблица191012[[#This Row],[Бетон]]</f>
        <v>0.5</v>
      </c>
      <c r="W229" s="306"/>
      <c r="X229" s="306"/>
      <c r="Y229" s="306"/>
      <c r="Z229" s="306"/>
      <c r="AG229" s="234">
        <v>121</v>
      </c>
    </row>
    <row r="230" spans="1:33" s="234" customFormat="1" ht="46.5" x14ac:dyDescent="0.35">
      <c r="A230" s="146">
        <v>229</v>
      </c>
      <c r="B230" s="146" t="s">
        <v>433</v>
      </c>
      <c r="C230" s="146" t="s">
        <v>434</v>
      </c>
      <c r="D230" s="146" t="s">
        <v>549</v>
      </c>
      <c r="E230" s="254">
        <f>Таблица191012[[#This Row],[Грунт]]+Таблица191012[[#This Row],[Щебень]]+Таблица191012[[#This Row],[Асфальт]]+Таблица191012[[#This Row],[Бетон]]</f>
        <v>6.5</v>
      </c>
      <c r="F230" s="311"/>
      <c r="G230" s="140"/>
      <c r="H230" s="249">
        <v>6.5</v>
      </c>
      <c r="I230" s="139"/>
      <c r="J230" s="232"/>
      <c r="K230" s="233" t="s">
        <v>557</v>
      </c>
      <c r="N230" s="234" t="b">
        <f>OR(Таблица191012[[#This Row],[Щебень]]&gt;0,Таблица191012[[#This Row],[Асфальт]]&gt;0,Таблица191012[[#This Row],[Бетон]]&gt;0)</f>
        <v>1</v>
      </c>
      <c r="O230" s="234">
        <v>1</v>
      </c>
      <c r="Q230" s="234">
        <v>226</v>
      </c>
      <c r="S230" s="235"/>
      <c r="T230" s="235"/>
      <c r="U230" s="306"/>
      <c r="V230" s="306">
        <f>Таблица191012[[#This Row],[Грунт]]+Таблица191012[[#This Row],[Щебень]]+Таблица191012[[#This Row],[Асфальт]]+Таблица191012[[#This Row],[Бетон]]</f>
        <v>6.5</v>
      </c>
      <c r="W230" s="306"/>
      <c r="X230" s="306"/>
      <c r="Y230" s="306"/>
      <c r="Z230" s="306"/>
      <c r="AG230" s="234">
        <v>122</v>
      </c>
    </row>
    <row r="231" spans="1:33" s="234" customFormat="1" ht="46.5" x14ac:dyDescent="0.35">
      <c r="A231" s="146">
        <v>230</v>
      </c>
      <c r="B231" s="146" t="s">
        <v>435</v>
      </c>
      <c r="C231" s="146" t="s">
        <v>436</v>
      </c>
      <c r="D231" s="146" t="s">
        <v>549</v>
      </c>
      <c r="E231" s="254">
        <f>Таблица191012[[#This Row],[Грунт]]+Таблица191012[[#This Row],[Щебень]]+Таблица191012[[#This Row],[Асфальт]]+Таблица191012[[#This Row],[Бетон]]</f>
        <v>2</v>
      </c>
      <c r="F231" s="311">
        <v>2</v>
      </c>
      <c r="G231" s="140"/>
      <c r="H231" s="249"/>
      <c r="I231" s="139"/>
      <c r="J231" s="232"/>
      <c r="N231" s="234" t="b">
        <f>OR(Таблица191012[[#This Row],[Щебень]]&gt;0,Таблица191012[[#This Row],[Асфальт]]&gt;0,Таблица191012[[#This Row],[Бетон]]&gt;0)</f>
        <v>0</v>
      </c>
      <c r="Q231" s="234">
        <v>227</v>
      </c>
      <c r="S231" s="235"/>
      <c r="T231" s="235"/>
      <c r="U231" s="306"/>
      <c r="V231" s="306">
        <f>Таблица191012[[#This Row],[Грунт]]+Таблица191012[[#This Row],[Щебень]]+Таблица191012[[#This Row],[Асфальт]]+Таблица191012[[#This Row],[Бетон]]</f>
        <v>2</v>
      </c>
      <c r="W231" s="306"/>
      <c r="X231" s="306"/>
      <c r="Y231" s="306"/>
      <c r="Z231" s="306"/>
      <c r="AG231" s="234">
        <v>123</v>
      </c>
    </row>
    <row r="232" spans="1:33" s="234" customFormat="1" ht="46.5" x14ac:dyDescent="0.35">
      <c r="A232" s="146">
        <v>231</v>
      </c>
      <c r="B232" s="146" t="s">
        <v>437</v>
      </c>
      <c r="C232" s="146" t="s">
        <v>438</v>
      </c>
      <c r="D232" s="146" t="s">
        <v>549</v>
      </c>
      <c r="E232" s="254">
        <f>Таблица191012[[#This Row],[Грунт]]+Таблица191012[[#This Row],[Щебень]]+Таблица191012[[#This Row],[Асфальт]]+Таблица191012[[#This Row],[Бетон]]</f>
        <v>1</v>
      </c>
      <c r="F232" s="311">
        <v>1</v>
      </c>
      <c r="G232" s="140"/>
      <c r="H232" s="249"/>
      <c r="I232" s="139"/>
      <c r="J232" s="232"/>
      <c r="N232" s="234" t="b">
        <f>OR(Таблица191012[[#This Row],[Щебень]]&gt;0,Таблица191012[[#This Row],[Асфальт]]&gt;0,Таблица191012[[#This Row],[Бетон]]&gt;0)</f>
        <v>0</v>
      </c>
      <c r="Q232" s="234">
        <v>228</v>
      </c>
      <c r="S232" s="235"/>
      <c r="T232" s="235"/>
      <c r="U232" s="306"/>
      <c r="V232" s="306">
        <f>Таблица191012[[#This Row],[Грунт]]+Таблица191012[[#This Row],[Щебень]]+Таблица191012[[#This Row],[Асфальт]]+Таблица191012[[#This Row],[Бетон]]</f>
        <v>1</v>
      </c>
      <c r="W232" s="306"/>
      <c r="X232" s="306"/>
      <c r="Y232" s="306"/>
      <c r="Z232" s="306"/>
      <c r="AG232" s="234">
        <v>124</v>
      </c>
    </row>
    <row r="233" spans="1:33" s="234" customFormat="1" ht="46.5" x14ac:dyDescent="0.35">
      <c r="A233" s="146">
        <v>232</v>
      </c>
      <c r="B233" s="146" t="s">
        <v>439</v>
      </c>
      <c r="C233" s="146" t="s">
        <v>440</v>
      </c>
      <c r="D233" s="146" t="s">
        <v>549</v>
      </c>
      <c r="E233" s="254">
        <f>Таблица191012[[#This Row],[Грунт]]+Таблица191012[[#This Row],[Щебень]]+Таблица191012[[#This Row],[Асфальт]]+Таблица191012[[#This Row],[Бетон]]</f>
        <v>1</v>
      </c>
      <c r="F233" s="311">
        <v>1</v>
      </c>
      <c r="G233" s="140"/>
      <c r="H233" s="249"/>
      <c r="I233" s="139"/>
      <c r="J233" s="232"/>
      <c r="N233" s="234" t="b">
        <f>OR(Таблица191012[[#This Row],[Щебень]]&gt;0,Таблица191012[[#This Row],[Асфальт]]&gt;0,Таблица191012[[#This Row],[Бетон]]&gt;0)</f>
        <v>0</v>
      </c>
      <c r="Q233" s="234">
        <v>229</v>
      </c>
      <c r="S233" s="235"/>
      <c r="T233" s="235"/>
      <c r="U233" s="306"/>
      <c r="V233" s="306">
        <f>Таблица191012[[#This Row],[Грунт]]+Таблица191012[[#This Row],[Щебень]]+Таблица191012[[#This Row],[Асфальт]]+Таблица191012[[#This Row],[Бетон]]</f>
        <v>1</v>
      </c>
      <c r="W233" s="306"/>
      <c r="X233" s="306"/>
      <c r="Y233" s="306"/>
      <c r="Z233" s="306"/>
      <c r="AG233" s="234">
        <v>125</v>
      </c>
    </row>
    <row r="234" spans="1:33" s="234" customFormat="1" ht="46.5" x14ac:dyDescent="0.35">
      <c r="A234" s="146">
        <v>233</v>
      </c>
      <c r="B234" s="146" t="s">
        <v>441</v>
      </c>
      <c r="C234" s="146" t="s">
        <v>442</v>
      </c>
      <c r="D234" s="146" t="s">
        <v>549</v>
      </c>
      <c r="E234" s="254">
        <f>Таблица191012[[#This Row],[Грунт]]+Таблица191012[[#This Row],[Щебень]]+Таблица191012[[#This Row],[Асфальт]]+Таблица191012[[#This Row],[Бетон]]</f>
        <v>0.6</v>
      </c>
      <c r="F234" s="311">
        <v>0.6</v>
      </c>
      <c r="G234" s="140"/>
      <c r="H234" s="249"/>
      <c r="I234" s="139"/>
      <c r="J234" s="232"/>
      <c r="N234" s="234" t="b">
        <f>OR(Таблица191012[[#This Row],[Щебень]]&gt;0,Таблица191012[[#This Row],[Асфальт]]&gt;0,Таблица191012[[#This Row],[Бетон]]&gt;0)</f>
        <v>0</v>
      </c>
      <c r="Q234" s="234">
        <v>230</v>
      </c>
      <c r="S234" s="235"/>
      <c r="T234" s="235"/>
      <c r="U234" s="306"/>
      <c r="V234" s="306">
        <f>Таблица191012[[#This Row],[Грунт]]+Таблица191012[[#This Row],[Щебень]]+Таблица191012[[#This Row],[Асфальт]]+Таблица191012[[#This Row],[Бетон]]</f>
        <v>0.6</v>
      </c>
      <c r="W234" s="306"/>
      <c r="X234" s="306"/>
      <c r="Y234" s="306"/>
      <c r="Z234" s="306"/>
      <c r="AG234" s="234">
        <v>126</v>
      </c>
    </row>
    <row r="235" spans="1:33" s="234" customFormat="1" ht="46.5" x14ac:dyDescent="0.35">
      <c r="A235" s="146">
        <v>234</v>
      </c>
      <c r="B235" s="146" t="s">
        <v>443</v>
      </c>
      <c r="C235" s="146" t="s">
        <v>444</v>
      </c>
      <c r="D235" s="146" t="s">
        <v>549</v>
      </c>
      <c r="E235" s="254">
        <f>Таблица191012[[#This Row],[Грунт]]+Таблица191012[[#This Row],[Щебень]]+Таблица191012[[#This Row],[Асфальт]]+Таблица191012[[#This Row],[Бетон]]</f>
        <v>1</v>
      </c>
      <c r="F235" s="311">
        <v>1</v>
      </c>
      <c r="G235" s="140"/>
      <c r="H235" s="249"/>
      <c r="I235" s="139"/>
      <c r="J235" s="232"/>
      <c r="N235" s="234" t="b">
        <f>OR(Таблица191012[[#This Row],[Щебень]]&gt;0,Таблица191012[[#This Row],[Асфальт]]&gt;0,Таблица191012[[#This Row],[Бетон]]&gt;0)</f>
        <v>0</v>
      </c>
      <c r="Q235" s="234">
        <v>231</v>
      </c>
      <c r="S235" s="235"/>
      <c r="T235" s="235"/>
      <c r="U235" s="306"/>
      <c r="V235" s="306">
        <f>Таблица191012[[#This Row],[Грунт]]+Таблица191012[[#This Row],[Щебень]]+Таблица191012[[#This Row],[Асфальт]]+Таблица191012[[#This Row],[Бетон]]</f>
        <v>1</v>
      </c>
      <c r="W235" s="306"/>
      <c r="X235" s="306"/>
      <c r="Y235" s="306"/>
      <c r="Z235" s="306"/>
      <c r="AG235" s="234">
        <v>127</v>
      </c>
    </row>
    <row r="236" spans="1:33" s="234" customFormat="1" ht="46.5" x14ac:dyDescent="0.35">
      <c r="A236" s="146">
        <v>235</v>
      </c>
      <c r="B236" s="146" t="s">
        <v>445</v>
      </c>
      <c r="C236" s="146" t="s">
        <v>446</v>
      </c>
      <c r="D236" s="146" t="s">
        <v>549</v>
      </c>
      <c r="E236" s="254">
        <f>Таблица191012[[#This Row],[Грунт]]+Таблица191012[[#This Row],[Щебень]]+Таблица191012[[#This Row],[Асфальт]]+Таблица191012[[#This Row],[Бетон]]</f>
        <v>0.5</v>
      </c>
      <c r="F236" s="311">
        <v>0.5</v>
      </c>
      <c r="G236" s="140"/>
      <c r="H236" s="249"/>
      <c r="I236" s="139"/>
      <c r="J236" s="232"/>
      <c r="N236" s="234" t="b">
        <f>OR(Таблица191012[[#This Row],[Щебень]]&gt;0,Таблица191012[[#This Row],[Асфальт]]&gt;0,Таблица191012[[#This Row],[Бетон]]&gt;0)</f>
        <v>0</v>
      </c>
      <c r="Q236" s="234">
        <v>232</v>
      </c>
      <c r="S236" s="235"/>
      <c r="T236" s="235"/>
      <c r="U236" s="306"/>
      <c r="V236" s="306">
        <f>Таблица191012[[#This Row],[Грунт]]+Таблица191012[[#This Row],[Щебень]]+Таблица191012[[#This Row],[Асфальт]]+Таблица191012[[#This Row],[Бетон]]</f>
        <v>0.5</v>
      </c>
      <c r="W236" s="306"/>
      <c r="X236" s="306"/>
      <c r="Y236" s="306"/>
      <c r="Z236" s="306"/>
      <c r="AG236" s="234">
        <v>128</v>
      </c>
    </row>
    <row r="237" spans="1:33" s="234" customFormat="1" ht="46.5" x14ac:dyDescent="0.35">
      <c r="A237" s="146">
        <v>236</v>
      </c>
      <c r="B237" s="146" t="s">
        <v>447</v>
      </c>
      <c r="C237" s="146" t="s">
        <v>448</v>
      </c>
      <c r="D237" s="146" t="s">
        <v>549</v>
      </c>
      <c r="E237" s="254">
        <f>Таблица191012[[#This Row],[Грунт]]+Таблица191012[[#This Row],[Щебень]]+Таблица191012[[#This Row],[Асфальт]]+Таблица191012[[#This Row],[Бетон]]</f>
        <v>3</v>
      </c>
      <c r="F237" s="311">
        <v>1.7</v>
      </c>
      <c r="G237" s="140">
        <v>0.3</v>
      </c>
      <c r="H237" s="249">
        <v>1</v>
      </c>
      <c r="I237" s="139"/>
      <c r="J237" s="232"/>
      <c r="N237" s="234" t="b">
        <f>OR(Таблица191012[[#This Row],[Щебень]]&gt;0,Таблица191012[[#This Row],[Асфальт]]&gt;0,Таблица191012[[#This Row],[Бетон]]&gt;0)</f>
        <v>1</v>
      </c>
      <c r="O237" s="234">
        <v>1</v>
      </c>
      <c r="Q237" s="234">
        <v>233</v>
      </c>
      <c r="S237" s="235"/>
      <c r="T237" s="235"/>
      <c r="U237" s="306"/>
      <c r="V237" s="306">
        <f>Таблица191012[[#This Row],[Грунт]]+Таблица191012[[#This Row],[Щебень]]+Таблица191012[[#This Row],[Асфальт]]+Таблица191012[[#This Row],[Бетон]]</f>
        <v>3</v>
      </c>
      <c r="W237" s="306"/>
      <c r="X237" s="306"/>
      <c r="Y237" s="306"/>
      <c r="Z237" s="306"/>
      <c r="AG237" s="234">
        <v>129</v>
      </c>
    </row>
    <row r="238" spans="1:33" s="234" customFormat="1" ht="46.5" x14ac:dyDescent="0.35">
      <c r="A238" s="146">
        <v>237</v>
      </c>
      <c r="B238" s="146" t="s">
        <v>449</v>
      </c>
      <c r="C238" s="146" t="s">
        <v>450</v>
      </c>
      <c r="D238" s="146" t="s">
        <v>550</v>
      </c>
      <c r="E238" s="254">
        <f>Таблица191012[[#This Row],[Грунт]]+Таблица191012[[#This Row],[Щебень]]+Таблица191012[[#This Row],[Асфальт]]+Таблица191012[[#This Row],[Бетон]]</f>
        <v>7.5</v>
      </c>
      <c r="F238" s="311">
        <v>6.85</v>
      </c>
      <c r="G238" s="140"/>
      <c r="H238" s="249">
        <v>0.65</v>
      </c>
      <c r="I238" s="139"/>
      <c r="J238" s="232"/>
      <c r="K238" s="233"/>
      <c r="N238" s="234" t="b">
        <f>OR(Таблица191012[[#This Row],[Щебень]]&gt;0,Таблица191012[[#This Row],[Асфальт]]&gt;0,Таблица191012[[#This Row],[Бетон]]&gt;0)</f>
        <v>1</v>
      </c>
      <c r="Q238" s="234">
        <v>234</v>
      </c>
      <c r="S238" s="235"/>
      <c r="T238" s="235"/>
      <c r="U238" s="306"/>
      <c r="V238" s="306">
        <f>Таблица191012[[#This Row],[Грунт]]+Таблица191012[[#This Row],[Щебень]]+Таблица191012[[#This Row],[Асфальт]]+Таблица191012[[#This Row],[Бетон]]</f>
        <v>7.5</v>
      </c>
      <c r="W238" s="306"/>
      <c r="X238" s="306"/>
      <c r="Y238" s="306"/>
      <c r="Z238" s="306"/>
      <c r="AG238" s="234">
        <v>130</v>
      </c>
    </row>
    <row r="239" spans="1:33" s="234" customFormat="1" ht="46.5" x14ac:dyDescent="0.35">
      <c r="A239" s="146">
        <v>238</v>
      </c>
      <c r="B239" s="146" t="s">
        <v>451</v>
      </c>
      <c r="C239" s="146" t="s">
        <v>452</v>
      </c>
      <c r="D239" s="146" t="s">
        <v>550</v>
      </c>
      <c r="E239" s="254">
        <f>Таблица191012[[#This Row],[Грунт]]+Таблица191012[[#This Row],[Щебень]]+Таблица191012[[#This Row],[Асфальт]]+Таблица191012[[#This Row],[Бетон]]</f>
        <v>1.65</v>
      </c>
      <c r="F239" s="311">
        <v>1.65</v>
      </c>
      <c r="G239" s="140"/>
      <c r="H239" s="249"/>
      <c r="I239" s="139"/>
      <c r="J239" s="232"/>
      <c r="N239" s="234" t="b">
        <f>OR(Таблица191012[[#This Row],[Щебень]]&gt;0,Таблица191012[[#This Row],[Асфальт]]&gt;0,Таблица191012[[#This Row],[Бетон]]&gt;0)</f>
        <v>0</v>
      </c>
      <c r="Q239" s="234">
        <v>235</v>
      </c>
      <c r="S239" s="235"/>
      <c r="T239" s="235"/>
      <c r="U239" s="306"/>
      <c r="V239" s="306">
        <f>Таблица191012[[#This Row],[Грунт]]+Таблица191012[[#This Row],[Щебень]]+Таблица191012[[#This Row],[Асфальт]]+Таблица191012[[#This Row],[Бетон]]</f>
        <v>1.65</v>
      </c>
      <c r="W239" s="306"/>
      <c r="X239" s="306"/>
      <c r="Y239" s="306"/>
      <c r="Z239" s="306"/>
      <c r="AG239" s="234">
        <v>131</v>
      </c>
    </row>
    <row r="240" spans="1:33" s="234" customFormat="1" ht="46.5" x14ac:dyDescent="0.35">
      <c r="A240" s="146">
        <v>239</v>
      </c>
      <c r="B240" s="146" t="s">
        <v>453</v>
      </c>
      <c r="C240" s="146" t="s">
        <v>454</v>
      </c>
      <c r="D240" s="146" t="s">
        <v>550</v>
      </c>
      <c r="E240" s="254">
        <f>Таблица191012[[#This Row],[Грунт]]+Таблица191012[[#This Row],[Щебень]]+Таблица191012[[#This Row],[Асфальт]]+Таблица191012[[#This Row],[Бетон]]</f>
        <v>1.7</v>
      </c>
      <c r="F240" s="311"/>
      <c r="G240" s="140">
        <v>0.7</v>
      </c>
      <c r="H240" s="249">
        <v>1</v>
      </c>
      <c r="I240" s="139"/>
      <c r="J240" s="232"/>
      <c r="K240" s="233" t="s">
        <v>557</v>
      </c>
      <c r="N240" s="234" t="b">
        <f>OR(Таблица191012[[#This Row],[Щебень]]&gt;0,Таблица191012[[#This Row],[Асфальт]]&gt;0,Таблица191012[[#This Row],[Бетон]]&gt;0)</f>
        <v>1</v>
      </c>
      <c r="O240" s="234">
        <v>1</v>
      </c>
      <c r="Q240" s="234">
        <v>236</v>
      </c>
      <c r="S240" s="235"/>
      <c r="T240" s="235"/>
      <c r="U240" s="306"/>
      <c r="V240" s="306">
        <f>Таблица191012[[#This Row],[Грунт]]+Таблица191012[[#This Row],[Щебень]]+Таблица191012[[#This Row],[Асфальт]]+Таблица191012[[#This Row],[Бетон]]</f>
        <v>1.7</v>
      </c>
      <c r="W240" s="306"/>
      <c r="X240" s="306"/>
      <c r="Y240" s="306"/>
      <c r="Z240" s="306"/>
      <c r="AG240" s="234">
        <v>132</v>
      </c>
    </row>
    <row r="241" spans="1:33" s="234" customFormat="1" ht="46.5" x14ac:dyDescent="0.35">
      <c r="A241" s="146">
        <v>240</v>
      </c>
      <c r="B241" s="146" t="s">
        <v>455</v>
      </c>
      <c r="C241" s="146" t="s">
        <v>456</v>
      </c>
      <c r="D241" s="146" t="s">
        <v>550</v>
      </c>
      <c r="E241" s="254">
        <f>Таблица191012[[#This Row],[Грунт]]+Таблица191012[[#This Row],[Щебень]]+Таблица191012[[#This Row],[Асфальт]]+Таблица191012[[#This Row],[Бетон]]</f>
        <v>1.25</v>
      </c>
      <c r="F241" s="311">
        <v>1.25</v>
      </c>
      <c r="G241" s="140"/>
      <c r="H241" s="249"/>
      <c r="I241" s="139"/>
      <c r="J241" s="232"/>
      <c r="N241" s="234" t="b">
        <f>OR(Таблица191012[[#This Row],[Щебень]]&gt;0,Таблица191012[[#This Row],[Асфальт]]&gt;0,Таблица191012[[#This Row],[Бетон]]&gt;0)</f>
        <v>0</v>
      </c>
      <c r="Q241" s="234">
        <v>237</v>
      </c>
      <c r="S241" s="235"/>
      <c r="T241" s="235"/>
      <c r="U241" s="306"/>
      <c r="V241" s="306">
        <f>Таблица191012[[#This Row],[Грунт]]+Таблица191012[[#This Row],[Щебень]]+Таблица191012[[#This Row],[Асфальт]]+Таблица191012[[#This Row],[Бетон]]</f>
        <v>1.25</v>
      </c>
      <c r="W241" s="306"/>
      <c r="X241" s="306"/>
      <c r="Y241" s="306"/>
      <c r="Z241" s="306"/>
      <c r="AG241" s="234">
        <v>133</v>
      </c>
    </row>
    <row r="242" spans="1:33" s="234" customFormat="1" ht="46.5" x14ac:dyDescent="0.35">
      <c r="A242" s="146">
        <v>241</v>
      </c>
      <c r="B242" s="146" t="s">
        <v>457</v>
      </c>
      <c r="C242" s="146" t="s">
        <v>458</v>
      </c>
      <c r="D242" s="146" t="s">
        <v>551</v>
      </c>
      <c r="E242" s="254">
        <f>Таблица191012[[#This Row],[Грунт]]+Таблица191012[[#This Row],[Щебень]]+Таблица191012[[#This Row],[Асфальт]]+Таблица191012[[#This Row],[Бетон]]</f>
        <v>5.0999999999999996</v>
      </c>
      <c r="F242" s="311">
        <v>0.4</v>
      </c>
      <c r="G242" s="140">
        <v>3</v>
      </c>
      <c r="H242" s="249">
        <v>1.7</v>
      </c>
      <c r="I242" s="139"/>
      <c r="J242" s="232"/>
      <c r="K242" s="233" t="s">
        <v>557</v>
      </c>
      <c r="N242" s="234" t="b">
        <f>OR(Таблица191012[[#This Row],[Щебень]]&gt;0,Таблица191012[[#This Row],[Асфальт]]&gt;0,Таблица191012[[#This Row],[Бетон]]&gt;0)</f>
        <v>1</v>
      </c>
      <c r="O242" s="234">
        <v>1</v>
      </c>
      <c r="Q242" s="234">
        <v>238</v>
      </c>
      <c r="S242" s="235"/>
      <c r="T242" s="235"/>
      <c r="U242" s="306"/>
      <c r="V242" s="306">
        <f>Таблица191012[[#This Row],[Грунт]]+Таблица191012[[#This Row],[Щебень]]+Таблица191012[[#This Row],[Асфальт]]+Таблица191012[[#This Row],[Бетон]]</f>
        <v>5.0999999999999996</v>
      </c>
      <c r="W242" s="306"/>
      <c r="X242" s="306"/>
      <c r="Y242" s="306"/>
      <c r="Z242" s="306"/>
      <c r="AG242" s="234">
        <v>134</v>
      </c>
    </row>
    <row r="243" spans="1:33" s="234" customFormat="1" ht="46.5" x14ac:dyDescent="0.35">
      <c r="A243" s="146">
        <v>242</v>
      </c>
      <c r="B243" s="146" t="s">
        <v>459</v>
      </c>
      <c r="C243" s="146" t="s">
        <v>460</v>
      </c>
      <c r="D243" s="146" t="s">
        <v>551</v>
      </c>
      <c r="E243" s="254">
        <f>Таблица191012[[#This Row],[Грунт]]+Таблица191012[[#This Row],[Щебень]]+Таблица191012[[#This Row],[Асфальт]]+Таблица191012[[#This Row],[Бетон]]</f>
        <v>2.5</v>
      </c>
      <c r="F243" s="311">
        <v>1.8</v>
      </c>
      <c r="G243" s="140">
        <v>0.7</v>
      </c>
      <c r="H243" s="249"/>
      <c r="I243" s="139"/>
      <c r="J243" s="232"/>
      <c r="N243" s="234" t="b">
        <f>OR(Таблица191012[[#This Row],[Щебень]]&gt;0,Таблица191012[[#This Row],[Асфальт]]&gt;0,Таблица191012[[#This Row],[Бетон]]&gt;0)</f>
        <v>1</v>
      </c>
      <c r="Q243" s="234">
        <v>239</v>
      </c>
      <c r="S243" s="235"/>
      <c r="T243" s="235"/>
      <c r="U243" s="306"/>
      <c r="V243" s="306">
        <f>Таблица191012[[#This Row],[Грунт]]+Таблица191012[[#This Row],[Щебень]]+Таблица191012[[#This Row],[Асфальт]]+Таблица191012[[#This Row],[Бетон]]</f>
        <v>2.5</v>
      </c>
      <c r="W243" s="306"/>
      <c r="X243" s="306"/>
      <c r="Y243" s="306"/>
      <c r="Z243" s="306"/>
      <c r="AG243" s="234">
        <v>135</v>
      </c>
    </row>
    <row r="244" spans="1:33" s="234" customFormat="1" ht="46.5" x14ac:dyDescent="0.35">
      <c r="A244" s="146">
        <v>243</v>
      </c>
      <c r="B244" s="146" t="s">
        <v>461</v>
      </c>
      <c r="C244" s="146" t="s">
        <v>462</v>
      </c>
      <c r="D244" s="146" t="s">
        <v>551</v>
      </c>
      <c r="E244" s="254">
        <f>Таблица191012[[#This Row],[Грунт]]+Таблица191012[[#This Row],[Щебень]]+Таблица191012[[#This Row],[Асфальт]]+Таблица191012[[#This Row],[Бетон]]</f>
        <v>0.7</v>
      </c>
      <c r="F244" s="311">
        <v>0.7</v>
      </c>
      <c r="G244" s="140"/>
      <c r="H244" s="249"/>
      <c r="I244" s="139"/>
      <c r="J244" s="232"/>
      <c r="N244" s="234" t="b">
        <f>OR(Таблица191012[[#This Row],[Щебень]]&gt;0,Таблица191012[[#This Row],[Асфальт]]&gt;0,Таблица191012[[#This Row],[Бетон]]&gt;0)</f>
        <v>0</v>
      </c>
      <c r="Q244" s="234">
        <v>240</v>
      </c>
      <c r="S244" s="235"/>
      <c r="T244" s="235"/>
      <c r="U244" s="306"/>
      <c r="V244" s="306">
        <f>Таблица191012[[#This Row],[Грунт]]+Таблица191012[[#This Row],[Щебень]]+Таблица191012[[#This Row],[Асфальт]]+Таблица191012[[#This Row],[Бетон]]</f>
        <v>0.7</v>
      </c>
      <c r="W244" s="306"/>
      <c r="X244" s="306"/>
      <c r="Y244" s="306"/>
      <c r="Z244" s="306"/>
      <c r="AG244" s="234">
        <v>136</v>
      </c>
    </row>
    <row r="245" spans="1:33" s="234" customFormat="1" ht="46.5" x14ac:dyDescent="0.35">
      <c r="A245" s="146">
        <v>244</v>
      </c>
      <c r="B245" s="146" t="s">
        <v>463</v>
      </c>
      <c r="C245" s="146" t="s">
        <v>464</v>
      </c>
      <c r="D245" s="146" t="s">
        <v>551</v>
      </c>
      <c r="E245" s="254">
        <f>Таблица191012[[#This Row],[Грунт]]+Таблица191012[[#This Row],[Щебень]]+Таблица191012[[#This Row],[Асфальт]]+Таблица191012[[#This Row],[Бетон]]</f>
        <v>1.7</v>
      </c>
      <c r="F245" s="311">
        <v>1.7</v>
      </c>
      <c r="G245" s="140"/>
      <c r="H245" s="249"/>
      <c r="I245" s="139"/>
      <c r="J245" s="232"/>
      <c r="N245" s="234" t="b">
        <f>OR(Таблица191012[[#This Row],[Щебень]]&gt;0,Таблица191012[[#This Row],[Асфальт]]&gt;0,Таблица191012[[#This Row],[Бетон]]&gt;0)</f>
        <v>0</v>
      </c>
      <c r="Q245" s="234">
        <v>241</v>
      </c>
      <c r="S245" s="235"/>
      <c r="T245" s="235"/>
      <c r="U245" s="306"/>
      <c r="V245" s="306">
        <f>Таблица191012[[#This Row],[Грунт]]+Таблица191012[[#This Row],[Щебень]]+Таблица191012[[#This Row],[Асфальт]]+Таблица191012[[#This Row],[Бетон]]</f>
        <v>1.7</v>
      </c>
      <c r="W245" s="306"/>
      <c r="X245" s="306"/>
      <c r="Y245" s="306"/>
      <c r="Z245" s="306"/>
      <c r="AG245" s="234">
        <v>137</v>
      </c>
    </row>
    <row r="246" spans="1:33" s="234" customFormat="1" ht="46.5" x14ac:dyDescent="0.35">
      <c r="A246" s="146">
        <v>245</v>
      </c>
      <c r="B246" s="146" t="s">
        <v>465</v>
      </c>
      <c r="C246" s="146" t="s">
        <v>466</v>
      </c>
      <c r="D246" s="146" t="s">
        <v>551</v>
      </c>
      <c r="E246" s="254">
        <f>Таблица191012[[#This Row],[Грунт]]+Таблица191012[[#This Row],[Щебень]]+Таблица191012[[#This Row],[Асфальт]]+Таблица191012[[#This Row],[Бетон]]</f>
        <v>2.5</v>
      </c>
      <c r="F246" s="311"/>
      <c r="G246" s="140">
        <v>2.5</v>
      </c>
      <c r="H246" s="249"/>
      <c r="I246" s="139"/>
      <c r="J246" s="232"/>
      <c r="K246" s="233" t="s">
        <v>557</v>
      </c>
      <c r="N246" s="234" t="b">
        <f>OR(Таблица191012[[#This Row],[Щебень]]&gt;0,Таблица191012[[#This Row],[Асфальт]]&gt;0,Таблица191012[[#This Row],[Бетон]]&gt;0)</f>
        <v>1</v>
      </c>
      <c r="O246" s="234">
        <v>1</v>
      </c>
      <c r="Q246" s="234">
        <v>242</v>
      </c>
      <c r="S246" s="235"/>
      <c r="T246" s="235"/>
      <c r="U246" s="306"/>
      <c r="V246" s="306">
        <f>Таблица191012[[#This Row],[Грунт]]+Таблица191012[[#This Row],[Щебень]]+Таблица191012[[#This Row],[Асфальт]]+Таблица191012[[#This Row],[Бетон]]</f>
        <v>2.5</v>
      </c>
      <c r="W246" s="306"/>
      <c r="X246" s="306"/>
      <c r="Y246" s="306"/>
      <c r="Z246" s="306"/>
      <c r="AG246" s="234">
        <v>138</v>
      </c>
    </row>
    <row r="247" spans="1:33" s="234" customFormat="1" ht="46.5" x14ac:dyDescent="0.35">
      <c r="A247" s="146">
        <v>246</v>
      </c>
      <c r="B247" s="146" t="s">
        <v>467</v>
      </c>
      <c r="C247" s="146" t="s">
        <v>468</v>
      </c>
      <c r="D247" s="146" t="s">
        <v>551</v>
      </c>
      <c r="E247" s="254">
        <f>Таблица191012[[#This Row],[Грунт]]+Таблица191012[[#This Row],[Щебень]]+Таблица191012[[#This Row],[Асфальт]]+Таблица191012[[#This Row],[Бетон]]</f>
        <v>0.5</v>
      </c>
      <c r="F247" s="311">
        <v>0.5</v>
      </c>
      <c r="G247" s="140"/>
      <c r="H247" s="249"/>
      <c r="I247" s="139"/>
      <c r="J247" s="232"/>
      <c r="N247" s="234" t="b">
        <f>OR(Таблица191012[[#This Row],[Щебень]]&gt;0,Таблица191012[[#This Row],[Асфальт]]&gt;0,Таблица191012[[#This Row],[Бетон]]&gt;0)</f>
        <v>0</v>
      </c>
      <c r="Q247" s="234">
        <v>243</v>
      </c>
      <c r="S247" s="235"/>
      <c r="T247" s="235"/>
      <c r="U247" s="306"/>
      <c r="V247" s="306">
        <f>Таблица191012[[#This Row],[Грунт]]+Таблица191012[[#This Row],[Щебень]]+Таблица191012[[#This Row],[Асфальт]]+Таблица191012[[#This Row],[Бетон]]</f>
        <v>0.5</v>
      </c>
      <c r="W247" s="306"/>
      <c r="X247" s="306"/>
      <c r="Y247" s="306"/>
      <c r="Z247" s="306"/>
      <c r="AG247" s="234">
        <v>139</v>
      </c>
    </row>
    <row r="248" spans="1:33" s="234" customFormat="1" ht="46.5" x14ac:dyDescent="0.35">
      <c r="A248" s="146">
        <v>247</v>
      </c>
      <c r="B248" s="146" t="s">
        <v>469</v>
      </c>
      <c r="C248" s="146" t="s">
        <v>470</v>
      </c>
      <c r="D248" s="146" t="s">
        <v>551</v>
      </c>
      <c r="E248" s="254">
        <f>Таблица191012[[#This Row],[Грунт]]+Таблица191012[[#This Row],[Щебень]]+Таблица191012[[#This Row],[Асфальт]]+Таблица191012[[#This Row],[Бетон]]</f>
        <v>0.6</v>
      </c>
      <c r="F248" s="311">
        <v>0.6</v>
      </c>
      <c r="G248" s="140"/>
      <c r="H248" s="249"/>
      <c r="I248" s="139"/>
      <c r="J248" s="232"/>
      <c r="N248" s="234" t="b">
        <f>OR(Таблица191012[[#This Row],[Щебень]]&gt;0,Таблица191012[[#This Row],[Асфальт]]&gt;0,Таблица191012[[#This Row],[Бетон]]&gt;0)</f>
        <v>0</v>
      </c>
      <c r="Q248" s="234">
        <v>244</v>
      </c>
      <c r="S248" s="235"/>
      <c r="T248" s="235"/>
      <c r="U248" s="306"/>
      <c r="V248" s="306">
        <f>Таблица191012[[#This Row],[Грунт]]+Таблица191012[[#This Row],[Щебень]]+Таблица191012[[#This Row],[Асфальт]]+Таблица191012[[#This Row],[Бетон]]</f>
        <v>0.6</v>
      </c>
      <c r="W248" s="306"/>
      <c r="X248" s="306"/>
      <c r="Y248" s="306"/>
      <c r="Z248" s="306"/>
      <c r="AG248" s="234">
        <v>140</v>
      </c>
    </row>
    <row r="249" spans="1:33" s="234" customFormat="1" ht="46.5" x14ac:dyDescent="0.35">
      <c r="A249" s="146">
        <v>248</v>
      </c>
      <c r="B249" s="146" t="s">
        <v>471</v>
      </c>
      <c r="C249" s="146" t="s">
        <v>472</v>
      </c>
      <c r="D249" s="146" t="s">
        <v>551</v>
      </c>
      <c r="E249" s="254">
        <f>Таблица191012[[#This Row],[Грунт]]+Таблица191012[[#This Row],[Щебень]]+Таблица191012[[#This Row],[Асфальт]]+Таблица191012[[#This Row],[Бетон]]</f>
        <v>0.82</v>
      </c>
      <c r="F249" s="311"/>
      <c r="G249" s="140"/>
      <c r="H249" s="249">
        <v>0.82</v>
      </c>
      <c r="I249" s="139"/>
      <c r="J249" s="232"/>
      <c r="N249" s="234" t="b">
        <f>OR(Таблица191012[[#This Row],[Щебень]]&gt;0,Таблица191012[[#This Row],[Асфальт]]&gt;0,Таблица191012[[#This Row],[Бетон]]&gt;0)</f>
        <v>1</v>
      </c>
      <c r="O249" s="234">
        <v>1</v>
      </c>
      <c r="Q249" s="234">
        <v>245</v>
      </c>
      <c r="S249" s="235"/>
      <c r="T249" s="235"/>
      <c r="U249" s="306"/>
      <c r="V249" s="306">
        <f>Таблица191012[[#This Row],[Грунт]]+Таблица191012[[#This Row],[Щебень]]+Таблица191012[[#This Row],[Асфальт]]+Таблица191012[[#This Row],[Бетон]]</f>
        <v>0.82</v>
      </c>
      <c r="W249" s="306"/>
      <c r="X249" s="306"/>
      <c r="Y249" s="306"/>
      <c r="Z249" s="306"/>
      <c r="AG249" s="234">
        <v>141</v>
      </c>
    </row>
    <row r="250" spans="1:33" s="234" customFormat="1" ht="46.5" x14ac:dyDescent="0.35">
      <c r="A250" s="146">
        <v>249</v>
      </c>
      <c r="B250" s="146" t="s">
        <v>473</v>
      </c>
      <c r="C250" s="146" t="s">
        <v>474</v>
      </c>
      <c r="D250" s="146" t="s">
        <v>552</v>
      </c>
      <c r="E250" s="254">
        <f>Таблица191012[[#This Row],[Грунт]]+Таблица191012[[#This Row],[Щебень]]+Таблица191012[[#This Row],[Асфальт]]+Таблица191012[[#This Row],[Бетон]]</f>
        <v>1.3</v>
      </c>
      <c r="F250" s="311"/>
      <c r="G250" s="140"/>
      <c r="H250" s="249">
        <v>1.3</v>
      </c>
      <c r="I250" s="139"/>
      <c r="J250" s="232"/>
      <c r="N250" s="234" t="b">
        <f>OR(Таблица191012[[#This Row],[Щебень]]&gt;0,Таблица191012[[#This Row],[Асфальт]]&gt;0,Таблица191012[[#This Row],[Бетон]]&gt;0)</f>
        <v>1</v>
      </c>
      <c r="O250" s="234">
        <v>1</v>
      </c>
      <c r="Q250" s="234">
        <v>246</v>
      </c>
      <c r="S250" s="235"/>
      <c r="T250" s="235"/>
      <c r="U250" s="306"/>
      <c r="V250" s="306">
        <f>Таблица191012[[#This Row],[Грунт]]+Таблица191012[[#This Row],[Щебень]]+Таблица191012[[#This Row],[Асфальт]]+Таблица191012[[#This Row],[Бетон]]</f>
        <v>1.3</v>
      </c>
      <c r="W250" s="306"/>
      <c r="X250" s="306"/>
      <c r="Y250" s="306"/>
      <c r="Z250" s="306"/>
      <c r="AG250" s="234">
        <v>142</v>
      </c>
    </row>
    <row r="251" spans="1:33" s="234" customFormat="1" ht="46.5" x14ac:dyDescent="0.35">
      <c r="A251" s="146">
        <v>250</v>
      </c>
      <c r="B251" s="146" t="s">
        <v>475</v>
      </c>
      <c r="C251" s="146" t="s">
        <v>476</v>
      </c>
      <c r="D251" s="146" t="s">
        <v>552</v>
      </c>
      <c r="E251" s="254">
        <f>Таблица191012[[#This Row],[Грунт]]+Таблица191012[[#This Row],[Щебень]]+Таблица191012[[#This Row],[Асфальт]]+Таблица191012[[#This Row],[Бетон]]</f>
        <v>0.8</v>
      </c>
      <c r="F251" s="311"/>
      <c r="G251" s="140"/>
      <c r="H251" s="249">
        <v>0.8</v>
      </c>
      <c r="I251" s="139"/>
      <c r="J251" s="232"/>
      <c r="N251" s="234" t="b">
        <f>OR(Таблица191012[[#This Row],[Щебень]]&gt;0,Таблица191012[[#This Row],[Асфальт]]&gt;0,Таблица191012[[#This Row],[Бетон]]&gt;0)</f>
        <v>1</v>
      </c>
      <c r="O251" s="234">
        <v>1</v>
      </c>
      <c r="Q251" s="234">
        <v>247</v>
      </c>
      <c r="S251" s="235"/>
      <c r="T251" s="235"/>
      <c r="U251" s="306"/>
      <c r="V251" s="306">
        <f>Таблица191012[[#This Row],[Грунт]]+Таблица191012[[#This Row],[Щебень]]+Таблица191012[[#This Row],[Асфальт]]+Таблица191012[[#This Row],[Бетон]]</f>
        <v>0.8</v>
      </c>
      <c r="W251" s="306"/>
      <c r="X251" s="306"/>
      <c r="Y251" s="306"/>
      <c r="Z251" s="306"/>
      <c r="AG251" s="234">
        <v>143</v>
      </c>
    </row>
    <row r="252" spans="1:33" s="234" customFormat="1" ht="46.5" x14ac:dyDescent="0.35">
      <c r="A252" s="146">
        <v>251</v>
      </c>
      <c r="B252" s="146" t="s">
        <v>477</v>
      </c>
      <c r="C252" s="146" t="s">
        <v>478</v>
      </c>
      <c r="D252" s="146" t="s">
        <v>552</v>
      </c>
      <c r="E252" s="254">
        <f>Таблица191012[[#This Row],[Грунт]]+Таблица191012[[#This Row],[Щебень]]+Таблица191012[[#This Row],[Асфальт]]+Таблица191012[[#This Row],[Бетон]]</f>
        <v>1.6</v>
      </c>
      <c r="F252" s="311"/>
      <c r="G252" s="140"/>
      <c r="H252" s="249">
        <v>1.6</v>
      </c>
      <c r="I252" s="139"/>
      <c r="J252" s="232"/>
      <c r="K252" s="233" t="s">
        <v>557</v>
      </c>
      <c r="N252" s="234" t="b">
        <f>OR(Таблица191012[[#This Row],[Щебень]]&gt;0,Таблица191012[[#This Row],[Асфальт]]&gt;0,Таблица191012[[#This Row],[Бетон]]&gt;0)</f>
        <v>1</v>
      </c>
      <c r="O252" s="234">
        <v>1</v>
      </c>
      <c r="Q252" s="234">
        <v>248</v>
      </c>
      <c r="S252" s="235"/>
      <c r="T252" s="235"/>
      <c r="U252" s="306"/>
      <c r="V252" s="306">
        <f>Таблица191012[[#This Row],[Грунт]]+Таблица191012[[#This Row],[Щебень]]+Таблица191012[[#This Row],[Асфальт]]+Таблица191012[[#This Row],[Бетон]]</f>
        <v>1.6</v>
      </c>
      <c r="W252" s="306"/>
      <c r="X252" s="306"/>
      <c r="Y252" s="306"/>
      <c r="Z252" s="306"/>
      <c r="AG252" s="234">
        <v>144</v>
      </c>
    </row>
    <row r="253" spans="1:33" s="234" customFormat="1" ht="46.5" x14ac:dyDescent="0.35">
      <c r="A253" s="146">
        <v>252</v>
      </c>
      <c r="B253" s="146" t="s">
        <v>479</v>
      </c>
      <c r="C253" s="146" t="s">
        <v>480</v>
      </c>
      <c r="D253" s="146" t="s">
        <v>552</v>
      </c>
      <c r="E253" s="254">
        <f>Таблица191012[[#This Row],[Грунт]]+Таблица191012[[#This Row],[Щебень]]+Таблица191012[[#This Row],[Асфальт]]+Таблица191012[[#This Row],[Бетон]]</f>
        <v>1.4</v>
      </c>
      <c r="F253" s="311"/>
      <c r="G253" s="140"/>
      <c r="H253" s="249">
        <v>1.4</v>
      </c>
      <c r="I253" s="139"/>
      <c r="J253" s="232"/>
      <c r="N253" s="234" t="b">
        <f>OR(Таблица191012[[#This Row],[Щебень]]&gt;0,Таблица191012[[#This Row],[Асфальт]]&gt;0,Таблица191012[[#This Row],[Бетон]]&gt;0)</f>
        <v>1</v>
      </c>
      <c r="O253" s="234">
        <v>1</v>
      </c>
      <c r="Q253" s="234">
        <v>249</v>
      </c>
      <c r="S253" s="235"/>
      <c r="T253" s="235"/>
      <c r="U253" s="306"/>
      <c r="V253" s="306">
        <f>Таблица191012[[#This Row],[Грунт]]+Таблица191012[[#This Row],[Щебень]]+Таблица191012[[#This Row],[Асфальт]]+Таблица191012[[#This Row],[Бетон]]</f>
        <v>1.4</v>
      </c>
      <c r="W253" s="306"/>
      <c r="X253" s="306"/>
      <c r="Y253" s="306"/>
      <c r="Z253" s="306"/>
      <c r="AG253" s="234">
        <v>145</v>
      </c>
    </row>
    <row r="254" spans="1:33" s="234" customFormat="1" ht="46.5" x14ac:dyDescent="0.35">
      <c r="A254" s="146">
        <v>253</v>
      </c>
      <c r="B254" s="146" t="s">
        <v>481</v>
      </c>
      <c r="C254" s="146" t="s">
        <v>482</v>
      </c>
      <c r="D254" s="146" t="s">
        <v>552</v>
      </c>
      <c r="E254" s="254">
        <f>Таблица191012[[#This Row],[Грунт]]+Таблица191012[[#This Row],[Щебень]]+Таблица191012[[#This Row],[Асфальт]]+Таблица191012[[#This Row],[Бетон]]</f>
        <v>0.3</v>
      </c>
      <c r="F254" s="311"/>
      <c r="G254" s="140"/>
      <c r="H254" s="249">
        <v>0.3</v>
      </c>
      <c r="I254" s="139"/>
      <c r="J254" s="232"/>
      <c r="N254" s="234" t="b">
        <f>OR(Таблица191012[[#This Row],[Щебень]]&gt;0,Таблица191012[[#This Row],[Асфальт]]&gt;0,Таблица191012[[#This Row],[Бетон]]&gt;0)</f>
        <v>1</v>
      </c>
      <c r="O254" s="234">
        <v>1</v>
      </c>
      <c r="Q254" s="234">
        <v>250</v>
      </c>
      <c r="S254" s="235"/>
      <c r="T254" s="235"/>
      <c r="U254" s="306"/>
      <c r="V254" s="306">
        <f>Таблица191012[[#This Row],[Грунт]]+Таблица191012[[#This Row],[Щебень]]+Таблица191012[[#This Row],[Асфальт]]+Таблица191012[[#This Row],[Бетон]]</f>
        <v>0.3</v>
      </c>
      <c r="W254" s="306"/>
      <c r="X254" s="306"/>
      <c r="Y254" s="306"/>
      <c r="Z254" s="306"/>
      <c r="AG254" s="234">
        <v>146</v>
      </c>
    </row>
    <row r="255" spans="1:33" s="234" customFormat="1" ht="46.5" x14ac:dyDescent="0.35">
      <c r="A255" s="146">
        <v>254</v>
      </c>
      <c r="B255" s="146" t="s">
        <v>483</v>
      </c>
      <c r="C255" s="146" t="s">
        <v>484</v>
      </c>
      <c r="D255" s="146" t="s">
        <v>552</v>
      </c>
      <c r="E255" s="254">
        <f>Таблица191012[[#This Row],[Грунт]]+Таблица191012[[#This Row],[Щебень]]+Таблица191012[[#This Row],[Асфальт]]+Таблица191012[[#This Row],[Бетон]]</f>
        <v>1.9</v>
      </c>
      <c r="F255" s="311">
        <v>0</v>
      </c>
      <c r="G255" s="140">
        <v>0</v>
      </c>
      <c r="H255" s="249">
        <v>1.9</v>
      </c>
      <c r="I255" s="139"/>
      <c r="J255" s="232"/>
      <c r="N255" s="234" t="b">
        <f>OR(Таблица191012[[#This Row],[Щебень]]&gt;0,Таблица191012[[#This Row],[Асфальт]]&gt;0,Таблица191012[[#This Row],[Бетон]]&gt;0)</f>
        <v>1</v>
      </c>
      <c r="O255" s="234">
        <v>1</v>
      </c>
      <c r="Q255" s="234">
        <v>251</v>
      </c>
      <c r="S255" s="235"/>
      <c r="T255" s="235"/>
      <c r="U255" s="306"/>
      <c r="V255" s="306">
        <f>Таблица191012[[#This Row],[Грунт]]+Таблица191012[[#This Row],[Щебень]]+Таблица191012[[#This Row],[Асфальт]]+Таблица191012[[#This Row],[Бетон]]</f>
        <v>1.9</v>
      </c>
      <c r="W255" s="306"/>
      <c r="X255" s="306"/>
      <c r="Y255" s="306"/>
      <c r="Z255" s="306"/>
      <c r="AG255" s="234">
        <v>147</v>
      </c>
    </row>
    <row r="256" spans="1:33" s="234" customFormat="1" ht="46.5" x14ac:dyDescent="0.35">
      <c r="A256" s="146">
        <v>255</v>
      </c>
      <c r="B256" s="146" t="s">
        <v>485</v>
      </c>
      <c r="C256" s="146" t="s">
        <v>486</v>
      </c>
      <c r="D256" s="146" t="s">
        <v>552</v>
      </c>
      <c r="E256" s="254">
        <f>Таблица191012[[#This Row],[Грунт]]+Таблица191012[[#This Row],[Щебень]]+Таблица191012[[#This Row],[Асфальт]]+Таблица191012[[#This Row],[Бетон]]</f>
        <v>0.9</v>
      </c>
      <c r="F256" s="311"/>
      <c r="G256" s="140">
        <v>0</v>
      </c>
      <c r="H256" s="249">
        <v>0.9</v>
      </c>
      <c r="I256" s="139"/>
      <c r="J256" s="232"/>
      <c r="N256" s="234" t="b">
        <f>OR(Таблица191012[[#This Row],[Щебень]]&gt;0,Таблица191012[[#This Row],[Асфальт]]&gt;0,Таблица191012[[#This Row],[Бетон]]&gt;0)</f>
        <v>1</v>
      </c>
      <c r="O256" s="234">
        <v>1</v>
      </c>
      <c r="Q256" s="234">
        <v>252</v>
      </c>
      <c r="S256" s="235"/>
      <c r="T256" s="235"/>
      <c r="U256" s="306"/>
      <c r="V256" s="306">
        <f>Таблица191012[[#This Row],[Грунт]]+Таблица191012[[#This Row],[Щебень]]+Таблица191012[[#This Row],[Асфальт]]+Таблица191012[[#This Row],[Бетон]]</f>
        <v>0.9</v>
      </c>
      <c r="W256" s="306"/>
      <c r="X256" s="306"/>
      <c r="Y256" s="306"/>
      <c r="Z256" s="306"/>
      <c r="AG256" s="234">
        <v>148</v>
      </c>
    </row>
    <row r="257" spans="1:33" s="234" customFormat="1" ht="46.5" x14ac:dyDescent="0.35">
      <c r="A257" s="146">
        <v>256</v>
      </c>
      <c r="B257" s="146" t="s">
        <v>487</v>
      </c>
      <c r="C257" s="146" t="s">
        <v>488</v>
      </c>
      <c r="D257" s="146" t="s">
        <v>552</v>
      </c>
      <c r="E257" s="254">
        <f>Таблица191012[[#This Row],[Грунт]]+Таблица191012[[#This Row],[Щебень]]+Таблица191012[[#This Row],[Асфальт]]+Таблица191012[[#This Row],[Бетон]]</f>
        <v>2</v>
      </c>
      <c r="F257" s="311"/>
      <c r="G257" s="140"/>
      <c r="H257" s="249">
        <v>2</v>
      </c>
      <c r="I257" s="139"/>
      <c r="J257" s="232"/>
      <c r="K257" s="233" t="s">
        <v>557</v>
      </c>
      <c r="N257" s="234" t="b">
        <f>OR(Таблица191012[[#This Row],[Щебень]]&gt;0,Таблица191012[[#This Row],[Асфальт]]&gt;0,Таблица191012[[#This Row],[Бетон]]&gt;0)</f>
        <v>1</v>
      </c>
      <c r="O257" s="234">
        <v>1</v>
      </c>
      <c r="Q257" s="234">
        <v>253</v>
      </c>
      <c r="S257" s="235"/>
      <c r="T257" s="235"/>
      <c r="U257" s="306"/>
      <c r="V257" s="306">
        <f>Таблица191012[[#This Row],[Грунт]]+Таблица191012[[#This Row],[Щебень]]+Таблица191012[[#This Row],[Асфальт]]+Таблица191012[[#This Row],[Бетон]]</f>
        <v>2</v>
      </c>
      <c r="W257" s="306"/>
      <c r="X257" s="306"/>
      <c r="Y257" s="306"/>
      <c r="Z257" s="306"/>
      <c r="AG257" s="234">
        <v>149</v>
      </c>
    </row>
    <row r="258" spans="1:33" s="234" customFormat="1" ht="46.5" x14ac:dyDescent="0.35">
      <c r="A258" s="146">
        <v>257</v>
      </c>
      <c r="B258" s="146" t="s">
        <v>489</v>
      </c>
      <c r="C258" s="146" t="s">
        <v>490</v>
      </c>
      <c r="D258" s="146" t="s">
        <v>552</v>
      </c>
      <c r="E258" s="254">
        <f>Таблица191012[[#This Row],[Грунт]]+Таблица191012[[#This Row],[Щебень]]+Таблица191012[[#This Row],[Асфальт]]+Таблица191012[[#This Row],[Бетон]]</f>
        <v>0.6</v>
      </c>
      <c r="F258" s="311"/>
      <c r="G258" s="140">
        <v>0</v>
      </c>
      <c r="H258" s="249">
        <v>0.6</v>
      </c>
      <c r="I258" s="139"/>
      <c r="J258" s="232"/>
      <c r="K258" s="234" t="s">
        <v>558</v>
      </c>
      <c r="N258" s="234" t="b">
        <f>OR(Таблица191012[[#This Row],[Щебень]]&gt;0,Таблица191012[[#This Row],[Асфальт]]&gt;0,Таблица191012[[#This Row],[Бетон]]&gt;0)</f>
        <v>1</v>
      </c>
      <c r="O258" s="234">
        <v>1</v>
      </c>
      <c r="Q258" s="234">
        <v>254</v>
      </c>
      <c r="S258" s="235"/>
      <c r="T258" s="235"/>
      <c r="U258" s="306"/>
      <c r="V258" s="306">
        <f>Таблица191012[[#This Row],[Грунт]]+Таблица191012[[#This Row],[Щебень]]+Таблица191012[[#This Row],[Асфальт]]+Таблица191012[[#This Row],[Бетон]]</f>
        <v>0.6</v>
      </c>
      <c r="W258" s="306"/>
      <c r="X258" s="306"/>
      <c r="Y258" s="306"/>
      <c r="Z258" s="306"/>
      <c r="AG258" s="234">
        <v>150</v>
      </c>
    </row>
    <row r="259" spans="1:33" s="234" customFormat="1" ht="46.5" x14ac:dyDescent="0.35">
      <c r="A259" s="146">
        <v>258</v>
      </c>
      <c r="B259" s="146" t="s">
        <v>491</v>
      </c>
      <c r="C259" s="146" t="s">
        <v>492</v>
      </c>
      <c r="D259" s="146" t="s">
        <v>552</v>
      </c>
      <c r="E259" s="254">
        <f>Таблица191012[[#This Row],[Грунт]]+Таблица191012[[#This Row],[Щебень]]+Таблица191012[[#This Row],[Асфальт]]+Таблица191012[[#This Row],[Бетон]]</f>
        <v>0.6</v>
      </c>
      <c r="F259" s="311"/>
      <c r="G259" s="140"/>
      <c r="H259" s="249">
        <v>0.6</v>
      </c>
      <c r="I259" s="139"/>
      <c r="J259" s="232"/>
      <c r="N259" s="234" t="b">
        <f>OR(Таблица191012[[#This Row],[Щебень]]&gt;0,Таблица191012[[#This Row],[Асфальт]]&gt;0,Таблица191012[[#This Row],[Бетон]]&gt;0)</f>
        <v>1</v>
      </c>
      <c r="O259" s="234">
        <v>1</v>
      </c>
      <c r="Q259" s="234">
        <v>255</v>
      </c>
      <c r="S259" s="235"/>
      <c r="T259" s="235"/>
      <c r="U259" s="306"/>
      <c r="V259" s="306">
        <f>Таблица191012[[#This Row],[Грунт]]+Таблица191012[[#This Row],[Щебень]]+Таблица191012[[#This Row],[Асфальт]]+Таблица191012[[#This Row],[Бетон]]</f>
        <v>0.6</v>
      </c>
      <c r="W259" s="306"/>
      <c r="X259" s="306"/>
      <c r="Y259" s="306"/>
      <c r="Z259" s="306"/>
      <c r="AG259" s="234">
        <v>151</v>
      </c>
    </row>
    <row r="260" spans="1:33" s="234" customFormat="1" ht="46.5" x14ac:dyDescent="0.35">
      <c r="A260" s="146">
        <v>259</v>
      </c>
      <c r="B260" s="146" t="s">
        <v>493</v>
      </c>
      <c r="C260" s="146" t="s">
        <v>494</v>
      </c>
      <c r="D260" s="146" t="s">
        <v>552</v>
      </c>
      <c r="E260" s="254">
        <f>Таблица191012[[#This Row],[Грунт]]+Таблица191012[[#This Row],[Щебень]]+Таблица191012[[#This Row],[Асфальт]]+Таблица191012[[#This Row],[Бетон]]</f>
        <v>1.2</v>
      </c>
      <c r="F260" s="311"/>
      <c r="G260" s="140"/>
      <c r="H260" s="249">
        <v>1.2</v>
      </c>
      <c r="I260" s="139"/>
      <c r="J260" s="232"/>
      <c r="N260" s="234" t="b">
        <f>OR(Таблица191012[[#This Row],[Щебень]]&gt;0,Таблица191012[[#This Row],[Асфальт]]&gt;0,Таблица191012[[#This Row],[Бетон]]&gt;0)</f>
        <v>1</v>
      </c>
      <c r="O260" s="234">
        <v>1</v>
      </c>
      <c r="Q260" s="234">
        <v>256</v>
      </c>
      <c r="S260" s="235"/>
      <c r="T260" s="235"/>
      <c r="U260" s="306"/>
      <c r="V260" s="306">
        <f>Таблица191012[[#This Row],[Грунт]]+Таблица191012[[#This Row],[Щебень]]+Таблица191012[[#This Row],[Асфальт]]+Таблица191012[[#This Row],[Бетон]]</f>
        <v>1.2</v>
      </c>
      <c r="W260" s="306"/>
      <c r="X260" s="306"/>
      <c r="Y260" s="306"/>
      <c r="Z260" s="306"/>
      <c r="AG260" s="234">
        <v>152</v>
      </c>
    </row>
    <row r="261" spans="1:33" s="234" customFormat="1" ht="46.5" x14ac:dyDescent="0.35">
      <c r="A261" s="146">
        <v>260</v>
      </c>
      <c r="B261" s="146" t="s">
        <v>495</v>
      </c>
      <c r="C261" s="146" t="s">
        <v>496</v>
      </c>
      <c r="D261" s="146" t="s">
        <v>552</v>
      </c>
      <c r="E261" s="254">
        <f>Таблица191012[[#This Row],[Грунт]]+Таблица191012[[#This Row],[Щебень]]+Таблица191012[[#This Row],[Асфальт]]+Таблица191012[[#This Row],[Бетон]]</f>
        <v>0.77</v>
      </c>
      <c r="F261" s="311"/>
      <c r="G261" s="140"/>
      <c r="H261" s="249">
        <v>0.77</v>
      </c>
      <c r="I261" s="139"/>
      <c r="J261" s="232"/>
      <c r="N261" s="234" t="b">
        <f>OR(Таблица191012[[#This Row],[Щебень]]&gt;0,Таблица191012[[#This Row],[Асфальт]]&gt;0,Таблица191012[[#This Row],[Бетон]]&gt;0)</f>
        <v>1</v>
      </c>
      <c r="O261" s="234">
        <v>1</v>
      </c>
      <c r="Q261" s="234">
        <v>257</v>
      </c>
      <c r="S261" s="235"/>
      <c r="T261" s="235"/>
      <c r="U261" s="306"/>
      <c r="V261" s="306">
        <f>Таблица191012[[#This Row],[Грунт]]+Таблица191012[[#This Row],[Щебень]]+Таблица191012[[#This Row],[Асфальт]]+Таблица191012[[#This Row],[Бетон]]</f>
        <v>0.77</v>
      </c>
      <c r="W261" s="306"/>
      <c r="X261" s="306"/>
      <c r="Y261" s="306"/>
      <c r="Z261" s="306"/>
      <c r="AG261" s="234">
        <v>153</v>
      </c>
    </row>
    <row r="262" spans="1:33" s="234" customFormat="1" ht="46.5" x14ac:dyDescent="0.35">
      <c r="A262" s="146">
        <v>261</v>
      </c>
      <c r="B262" s="146" t="s">
        <v>497</v>
      </c>
      <c r="C262" s="146" t="s">
        <v>498</v>
      </c>
      <c r="D262" s="146" t="s">
        <v>552</v>
      </c>
      <c r="E262" s="254">
        <f>Таблица191012[[#This Row],[Грунт]]+Таблица191012[[#This Row],[Щебень]]+Таблица191012[[#This Row],[Асфальт]]+Таблица191012[[#This Row],[Бетон]]</f>
        <v>0.6</v>
      </c>
      <c r="F262" s="311"/>
      <c r="G262" s="140"/>
      <c r="H262" s="249">
        <v>0.6</v>
      </c>
      <c r="I262" s="139"/>
      <c r="J262" s="232"/>
      <c r="N262" s="234" t="b">
        <f>OR(Таблица191012[[#This Row],[Щебень]]&gt;0,Таблица191012[[#This Row],[Асфальт]]&gt;0,Таблица191012[[#This Row],[Бетон]]&gt;0)</f>
        <v>1</v>
      </c>
      <c r="O262" s="234">
        <v>1</v>
      </c>
      <c r="P262" s="234">
        <f>0.6-Таблица191012[[#This Row],[Протяженность(км)]]</f>
        <v>0</v>
      </c>
      <c r="Q262" s="234">
        <v>258</v>
      </c>
      <c r="S262" s="235"/>
      <c r="T262" s="235"/>
      <c r="U262" s="306"/>
      <c r="V262" s="306">
        <f>Таблица191012[[#This Row],[Грунт]]+Таблица191012[[#This Row],[Щебень]]+Таблица191012[[#This Row],[Асфальт]]+Таблица191012[[#This Row],[Бетон]]</f>
        <v>0.6</v>
      </c>
      <c r="W262" s="306"/>
      <c r="X262" s="306"/>
      <c r="Y262" s="306"/>
      <c r="Z262" s="306"/>
      <c r="AG262" s="234">
        <v>154</v>
      </c>
    </row>
    <row r="263" spans="1:33" s="234" customFormat="1" ht="46.5" x14ac:dyDescent="0.35">
      <c r="A263" s="146">
        <v>262</v>
      </c>
      <c r="B263" s="146" t="s">
        <v>499</v>
      </c>
      <c r="C263" s="146" t="s">
        <v>500</v>
      </c>
      <c r="D263" s="146" t="s">
        <v>552</v>
      </c>
      <c r="E263" s="254">
        <f>Таблица191012[[#This Row],[Грунт]]+Таблица191012[[#This Row],[Щебень]]+Таблица191012[[#This Row],[Асфальт]]+Таблица191012[[#This Row],[Бетон]]</f>
        <v>0.499</v>
      </c>
      <c r="F263" s="311"/>
      <c r="G263" s="140">
        <v>0</v>
      </c>
      <c r="H263" s="249">
        <v>0.499</v>
      </c>
      <c r="I263" s="139"/>
      <c r="J263" s="232"/>
      <c r="N263" s="234" t="b">
        <f>OR(Таблица191012[[#This Row],[Щебень]]&gt;0,Таблица191012[[#This Row],[Асфальт]]&gt;0,Таблица191012[[#This Row],[Бетон]]&gt;0)</f>
        <v>1</v>
      </c>
      <c r="O263" s="234">
        <v>1</v>
      </c>
      <c r="Q263" s="234">
        <v>259</v>
      </c>
      <c r="S263" s="235"/>
      <c r="T263" s="235"/>
      <c r="U263" s="306"/>
      <c r="V263" s="306">
        <f>Таблица191012[[#This Row],[Грунт]]+Таблица191012[[#This Row],[Щебень]]+Таблица191012[[#This Row],[Асфальт]]+Таблица191012[[#This Row],[Бетон]]</f>
        <v>0.499</v>
      </c>
      <c r="W263" s="306"/>
      <c r="X263" s="306"/>
      <c r="Y263" s="306"/>
      <c r="Z263" s="306"/>
      <c r="AG263" s="234">
        <v>155</v>
      </c>
    </row>
    <row r="264" spans="1:33" s="234" customFormat="1" ht="46.5" x14ac:dyDescent="0.35">
      <c r="A264" s="146">
        <v>263</v>
      </c>
      <c r="B264" s="146" t="s">
        <v>501</v>
      </c>
      <c r="C264" s="146" t="s">
        <v>502</v>
      </c>
      <c r="D264" s="146" t="s">
        <v>552</v>
      </c>
      <c r="E264" s="254">
        <f>Таблица191012[[#This Row],[Грунт]]+Таблица191012[[#This Row],[Щебень]]+Таблица191012[[#This Row],[Асфальт]]+Таблица191012[[#This Row],[Бетон]]</f>
        <v>0.66700000000000004</v>
      </c>
      <c r="F264" s="311"/>
      <c r="G264" s="140">
        <v>0</v>
      </c>
      <c r="H264" s="249">
        <v>0.66700000000000004</v>
      </c>
      <c r="I264" s="139"/>
      <c r="J264" s="232"/>
      <c r="N264" s="234" t="b">
        <f>OR(Таблица191012[[#This Row],[Щебень]]&gt;0,Таблица191012[[#This Row],[Асфальт]]&gt;0,Таблица191012[[#This Row],[Бетон]]&gt;0)</f>
        <v>1</v>
      </c>
      <c r="O264" s="234">
        <v>1</v>
      </c>
      <c r="Q264" s="234">
        <v>260</v>
      </c>
      <c r="S264" s="235"/>
      <c r="T264" s="235"/>
      <c r="U264" s="306"/>
      <c r="V264" s="306">
        <f>Таблица191012[[#This Row],[Грунт]]+Таблица191012[[#This Row],[Щебень]]+Таблица191012[[#This Row],[Асфальт]]+Таблица191012[[#This Row],[Бетон]]</f>
        <v>0.66700000000000004</v>
      </c>
      <c r="W264" s="306"/>
      <c r="X264" s="306"/>
      <c r="Y264" s="306"/>
      <c r="Z264" s="306"/>
      <c r="AG264" s="234">
        <v>156</v>
      </c>
    </row>
    <row r="265" spans="1:33" s="234" customFormat="1" ht="46.5" x14ac:dyDescent="0.35">
      <c r="A265" s="146">
        <v>264</v>
      </c>
      <c r="B265" s="146" t="s">
        <v>503</v>
      </c>
      <c r="C265" s="146" t="s">
        <v>504</v>
      </c>
      <c r="D265" s="146" t="s">
        <v>552</v>
      </c>
      <c r="E265" s="254">
        <f>Таблица191012[[#This Row],[Грунт]]+Таблица191012[[#This Row],[Щебень]]+Таблица191012[[#This Row],[Асфальт]]+Таблица191012[[#This Row],[Бетон]]</f>
        <v>0.7</v>
      </c>
      <c r="F265" s="311"/>
      <c r="G265" s="140">
        <v>0.7</v>
      </c>
      <c r="H265" s="249"/>
      <c r="I265" s="139"/>
      <c r="J265" s="232"/>
      <c r="N265" s="234" t="b">
        <f>OR(Таблица191012[[#This Row],[Щебень]]&gt;0,Таблица191012[[#This Row],[Асфальт]]&gt;0,Таблица191012[[#This Row],[Бетон]]&gt;0)</f>
        <v>1</v>
      </c>
      <c r="O265" s="234">
        <v>1</v>
      </c>
      <c r="Q265" s="234">
        <v>261</v>
      </c>
      <c r="S265" s="235"/>
      <c r="T265" s="235"/>
      <c r="U265" s="306"/>
      <c r="V265" s="306">
        <f>Таблица191012[[#This Row],[Грунт]]+Таблица191012[[#This Row],[Щебень]]+Таблица191012[[#This Row],[Асфальт]]+Таблица191012[[#This Row],[Бетон]]</f>
        <v>0.7</v>
      </c>
      <c r="W265" s="306"/>
      <c r="X265" s="306"/>
      <c r="Y265" s="306"/>
      <c r="Z265" s="306"/>
      <c r="AG265" s="234">
        <v>157</v>
      </c>
    </row>
    <row r="266" spans="1:33" s="234" customFormat="1" ht="46.5" x14ac:dyDescent="0.35">
      <c r="A266" s="146">
        <v>265</v>
      </c>
      <c r="B266" s="146" t="s">
        <v>505</v>
      </c>
      <c r="C266" s="146" t="s">
        <v>506</v>
      </c>
      <c r="D266" s="146" t="s">
        <v>552</v>
      </c>
      <c r="E266" s="254">
        <f>Таблица191012[[#This Row],[Грунт]]+Таблица191012[[#This Row],[Щебень]]+Таблица191012[[#This Row],[Асфальт]]+Таблица191012[[#This Row],[Бетон]]</f>
        <v>0.7</v>
      </c>
      <c r="F266" s="311"/>
      <c r="G266" s="140"/>
      <c r="H266" s="249">
        <v>0.7</v>
      </c>
      <c r="I266" s="139"/>
      <c r="J266" s="232"/>
      <c r="N266" s="234" t="b">
        <f>OR(Таблица191012[[#This Row],[Щебень]]&gt;0,Таблица191012[[#This Row],[Асфальт]]&gt;0,Таблица191012[[#This Row],[Бетон]]&gt;0)</f>
        <v>1</v>
      </c>
      <c r="O266" s="234">
        <v>1</v>
      </c>
      <c r="Q266" s="234">
        <v>262</v>
      </c>
      <c r="S266" s="235"/>
      <c r="T266" s="235"/>
      <c r="U266" s="306"/>
      <c r="V266" s="306">
        <f>Таблица191012[[#This Row],[Грунт]]+Таблица191012[[#This Row],[Щебень]]+Таблица191012[[#This Row],[Асфальт]]+Таблица191012[[#This Row],[Бетон]]</f>
        <v>0.7</v>
      </c>
      <c r="W266" s="306"/>
      <c r="X266" s="306"/>
      <c r="Y266" s="306"/>
      <c r="Z266" s="306"/>
      <c r="AG266" s="234">
        <v>158</v>
      </c>
    </row>
    <row r="267" spans="1:33" s="234" customFormat="1" ht="46.5" x14ac:dyDescent="0.35">
      <c r="A267" s="146">
        <v>266</v>
      </c>
      <c r="B267" s="146" t="s">
        <v>507</v>
      </c>
      <c r="C267" s="146" t="s">
        <v>508</v>
      </c>
      <c r="D267" s="146" t="s">
        <v>552</v>
      </c>
      <c r="E267" s="254">
        <f>Таблица191012[[#This Row],[Грунт]]+Таблица191012[[#This Row],[Щебень]]+Таблица191012[[#This Row],[Асфальт]]+Таблица191012[[#This Row],[Бетон]]</f>
        <v>0.98599999999999999</v>
      </c>
      <c r="F267" s="311"/>
      <c r="G267" s="247"/>
      <c r="H267" s="249">
        <v>0.98599999999999999</v>
      </c>
      <c r="I267" s="139"/>
      <c r="J267" s="232"/>
      <c r="N267" s="234" t="b">
        <f>OR(Таблица191012[[#This Row],[Щебень]]&gt;0,Таблица191012[[#This Row],[Асфальт]]&gt;0,Таблица191012[[#This Row],[Бетон]]&gt;0)</f>
        <v>1</v>
      </c>
      <c r="O267" s="234">
        <v>1</v>
      </c>
      <c r="Q267" s="234">
        <v>263</v>
      </c>
      <c r="S267" s="235"/>
      <c r="T267" s="235"/>
      <c r="U267" s="306"/>
      <c r="V267" s="306">
        <f>Таблица191012[[#This Row],[Грунт]]+Таблица191012[[#This Row],[Щебень]]+Таблица191012[[#This Row],[Асфальт]]+Таблица191012[[#This Row],[Бетон]]</f>
        <v>0.98599999999999999</v>
      </c>
      <c r="W267" s="306"/>
      <c r="X267" s="306"/>
      <c r="Y267" s="306"/>
      <c r="Z267" s="306"/>
      <c r="AG267" s="234">
        <v>159</v>
      </c>
    </row>
    <row r="268" spans="1:33" s="234" customFormat="1" ht="46.5" x14ac:dyDescent="0.35">
      <c r="A268" s="146">
        <v>267</v>
      </c>
      <c r="B268" s="146" t="s">
        <v>509</v>
      </c>
      <c r="C268" s="146" t="s">
        <v>510</v>
      </c>
      <c r="D268" s="146" t="s">
        <v>552</v>
      </c>
      <c r="E268" s="254">
        <f>Таблица191012[[#This Row],[Грунт]]+Таблица191012[[#This Row],[Щебень]]+Таблица191012[[#This Row],[Асфальт]]+Таблица191012[[#This Row],[Бетон]]</f>
        <v>0.8</v>
      </c>
      <c r="F268" s="311">
        <v>0.8</v>
      </c>
      <c r="G268" s="140"/>
      <c r="H268" s="249"/>
      <c r="I268" s="139"/>
      <c r="J268" s="232"/>
      <c r="N268" s="234" t="b">
        <f>OR(Таблица191012[[#This Row],[Щебень]]&gt;0,Таблица191012[[#This Row],[Асфальт]]&gt;0,Таблица191012[[#This Row],[Бетон]]&gt;0)</f>
        <v>0</v>
      </c>
      <c r="Q268" s="234">
        <v>264</v>
      </c>
      <c r="S268" s="235"/>
      <c r="T268" s="235"/>
      <c r="U268" s="306"/>
      <c r="V268" s="306">
        <f>Таблица191012[[#This Row],[Грунт]]+Таблица191012[[#This Row],[Щебень]]+Таблица191012[[#This Row],[Асфальт]]+Таблица191012[[#This Row],[Бетон]]</f>
        <v>0.8</v>
      </c>
      <c r="W268" s="306"/>
      <c r="X268" s="306"/>
      <c r="Y268" s="306"/>
      <c r="Z268" s="306"/>
      <c r="AG268" s="234">
        <v>160</v>
      </c>
    </row>
    <row r="269" spans="1:33" s="234" customFormat="1" ht="46.5" x14ac:dyDescent="0.35">
      <c r="A269" s="146">
        <v>268</v>
      </c>
      <c r="B269" s="146" t="s">
        <v>511</v>
      </c>
      <c r="C269" s="146" t="s">
        <v>512</v>
      </c>
      <c r="D269" s="146" t="s">
        <v>552</v>
      </c>
      <c r="E269" s="254">
        <f>Таблица191012[[#This Row],[Грунт]]+Таблица191012[[#This Row],[Щебень]]+Таблица191012[[#This Row],[Асфальт]]+Таблица191012[[#This Row],[Бетон]]</f>
        <v>1.4</v>
      </c>
      <c r="F269" s="311"/>
      <c r="G269" s="140"/>
      <c r="H269" s="249">
        <v>1.4</v>
      </c>
      <c r="I269" s="139"/>
      <c r="J269" s="232"/>
      <c r="N269" s="234" t="b">
        <f>OR(Таблица191012[[#This Row],[Щебень]]&gt;0,Таблица191012[[#This Row],[Асфальт]]&gt;0,Таблица191012[[#This Row],[Бетон]]&gt;0)</f>
        <v>1</v>
      </c>
      <c r="O269" s="234">
        <v>1</v>
      </c>
      <c r="Q269" s="234">
        <v>265</v>
      </c>
      <c r="S269" s="235"/>
      <c r="T269" s="235"/>
      <c r="U269" s="306"/>
      <c r="V269" s="306">
        <f>Таблица191012[[#This Row],[Грунт]]+Таблица191012[[#This Row],[Щебень]]+Таблица191012[[#This Row],[Асфальт]]+Таблица191012[[#This Row],[Бетон]]</f>
        <v>1.4</v>
      </c>
      <c r="W269" s="306"/>
      <c r="X269" s="306"/>
      <c r="Y269" s="306"/>
      <c r="Z269" s="306"/>
      <c r="AG269" s="234">
        <v>161</v>
      </c>
    </row>
    <row r="270" spans="1:33" s="234" customFormat="1" ht="46.5" x14ac:dyDescent="0.35">
      <c r="A270" s="146">
        <v>269</v>
      </c>
      <c r="B270" s="146" t="s">
        <v>513</v>
      </c>
      <c r="C270" s="146" t="s">
        <v>514</v>
      </c>
      <c r="D270" s="146" t="s">
        <v>552</v>
      </c>
      <c r="E270" s="254">
        <f>Таблица191012[[#This Row],[Грунт]]+Таблица191012[[#This Row],[Щебень]]+Таблица191012[[#This Row],[Асфальт]]+Таблица191012[[#This Row],[Бетон]]</f>
        <v>1</v>
      </c>
      <c r="F270" s="311"/>
      <c r="G270" s="140"/>
      <c r="H270" s="249">
        <v>1</v>
      </c>
      <c r="I270" s="139"/>
      <c r="J270" s="232"/>
      <c r="N270" s="234" t="b">
        <f>OR(Таблица191012[[#This Row],[Щебень]]&gt;0,Таблица191012[[#This Row],[Асфальт]]&gt;0,Таблица191012[[#This Row],[Бетон]]&gt;0)</f>
        <v>1</v>
      </c>
      <c r="O270" s="234">
        <v>1</v>
      </c>
      <c r="Q270" s="234">
        <v>266</v>
      </c>
      <c r="S270" s="235"/>
      <c r="T270" s="235"/>
      <c r="U270" s="306"/>
      <c r="V270" s="306">
        <f>Таблица191012[[#This Row],[Грунт]]+Таблица191012[[#This Row],[Щебень]]+Таблица191012[[#This Row],[Асфальт]]+Таблица191012[[#This Row],[Бетон]]</f>
        <v>1</v>
      </c>
      <c r="W270" s="306"/>
      <c r="X270" s="306"/>
      <c r="Y270" s="306"/>
      <c r="Z270" s="306"/>
      <c r="AG270" s="234">
        <v>162</v>
      </c>
    </row>
    <row r="271" spans="1:33" s="234" customFormat="1" ht="46.5" x14ac:dyDescent="0.35">
      <c r="A271" s="146">
        <v>270</v>
      </c>
      <c r="B271" s="146" t="s">
        <v>515</v>
      </c>
      <c r="C271" s="146" t="s">
        <v>516</v>
      </c>
      <c r="D271" s="146" t="s">
        <v>552</v>
      </c>
      <c r="E271" s="254">
        <f>Таблица191012[[#This Row],[Грунт]]+Таблица191012[[#This Row],[Щебень]]+Таблица191012[[#This Row],[Асфальт]]+Таблица191012[[#This Row],[Бетон]]</f>
        <v>0.75</v>
      </c>
      <c r="F271" s="311"/>
      <c r="G271" s="140"/>
      <c r="H271" s="249">
        <v>0.75</v>
      </c>
      <c r="I271" s="139"/>
      <c r="J271" s="232"/>
      <c r="K271" s="234" t="s">
        <v>558</v>
      </c>
      <c r="N271" s="234" t="b">
        <f>OR(Таблица191012[[#This Row],[Щебень]]&gt;0,Таблица191012[[#This Row],[Асфальт]]&gt;0,Таблица191012[[#This Row],[Бетон]]&gt;0)</f>
        <v>1</v>
      </c>
      <c r="O271" s="234">
        <v>1</v>
      </c>
      <c r="Q271" s="234">
        <v>267</v>
      </c>
      <c r="S271" s="235"/>
      <c r="T271" s="235"/>
      <c r="U271" s="306"/>
      <c r="V271" s="306">
        <f>Таблица191012[[#This Row],[Грунт]]+Таблица191012[[#This Row],[Щебень]]+Таблица191012[[#This Row],[Асфальт]]+Таблица191012[[#This Row],[Бетон]]</f>
        <v>0.75</v>
      </c>
      <c r="W271" s="306"/>
      <c r="X271" s="306"/>
      <c r="Y271" s="306"/>
      <c r="Z271" s="306"/>
      <c r="AG271" s="234">
        <v>163</v>
      </c>
    </row>
    <row r="272" spans="1:33" s="234" customFormat="1" ht="46.5" x14ac:dyDescent="0.35">
      <c r="A272" s="146">
        <v>271</v>
      </c>
      <c r="B272" s="146" t="s">
        <v>517</v>
      </c>
      <c r="C272" s="146" t="s">
        <v>518</v>
      </c>
      <c r="D272" s="146" t="s">
        <v>552</v>
      </c>
      <c r="E272" s="254">
        <f>Таблица191012[[#This Row],[Грунт]]+Таблица191012[[#This Row],[Щебень]]+Таблица191012[[#This Row],[Асфальт]]+Таблица191012[[#This Row],[Бетон]]</f>
        <v>0.3</v>
      </c>
      <c r="F272" s="311">
        <v>0</v>
      </c>
      <c r="G272" s="140"/>
      <c r="H272" s="249">
        <v>0.3</v>
      </c>
      <c r="I272" s="139"/>
      <c r="J272" s="232" t="s">
        <v>800</v>
      </c>
      <c r="N272" s="234" t="b">
        <f>OR(Таблица191012[[#This Row],[Щебень]]&gt;0,Таблица191012[[#This Row],[Асфальт]]&gt;0,Таблица191012[[#This Row],[Бетон]]&gt;0)</f>
        <v>1</v>
      </c>
      <c r="Q272" s="234">
        <v>268</v>
      </c>
      <c r="S272" s="235"/>
      <c r="T272" s="235"/>
      <c r="U272" s="306"/>
      <c r="V272" s="306">
        <f>Таблица191012[[#This Row],[Грунт]]+Таблица191012[[#This Row],[Щебень]]+Таблица191012[[#This Row],[Асфальт]]+Таблица191012[[#This Row],[Бетон]]</f>
        <v>0.3</v>
      </c>
      <c r="W272" s="306"/>
      <c r="X272" s="306"/>
      <c r="Y272" s="306"/>
      <c r="Z272" s="306"/>
      <c r="AG272" s="234">
        <v>164</v>
      </c>
    </row>
    <row r="273" spans="1:33" s="234" customFormat="1" ht="46.5" x14ac:dyDescent="0.35">
      <c r="A273" s="146">
        <v>272</v>
      </c>
      <c r="B273" s="146" t="s">
        <v>519</v>
      </c>
      <c r="C273" s="146" t="s">
        <v>520</v>
      </c>
      <c r="D273" s="146" t="s">
        <v>552</v>
      </c>
      <c r="E273" s="254">
        <f>Таблица191012[[#This Row],[Грунт]]+Таблица191012[[#This Row],[Щебень]]+Таблица191012[[#This Row],[Асфальт]]+Таблица191012[[#This Row],[Бетон]]</f>
        <v>0.1</v>
      </c>
      <c r="F273" s="311"/>
      <c r="G273" s="140"/>
      <c r="H273" s="249">
        <v>0.1</v>
      </c>
      <c r="I273" s="139"/>
      <c r="J273" s="232" t="s">
        <v>800</v>
      </c>
      <c r="N273" s="234" t="b">
        <f>OR(Таблица191012[[#This Row],[Щебень]]&gt;0,Таблица191012[[#This Row],[Асфальт]]&gt;0,Таблица191012[[#This Row],[Бетон]]&gt;0)</f>
        <v>1</v>
      </c>
      <c r="Q273" s="234">
        <v>269</v>
      </c>
      <c r="S273" s="235"/>
      <c r="T273" s="235"/>
      <c r="U273" s="306"/>
      <c r="V273" s="306">
        <f>Таблица191012[[#This Row],[Грунт]]+Таблица191012[[#This Row],[Щебень]]+Таблица191012[[#This Row],[Асфальт]]+Таблица191012[[#This Row],[Бетон]]</f>
        <v>0.1</v>
      </c>
      <c r="W273" s="306"/>
      <c r="X273" s="306"/>
      <c r="Y273" s="306"/>
      <c r="Z273" s="306"/>
      <c r="AG273" s="234">
        <v>165</v>
      </c>
    </row>
    <row r="274" spans="1:33" s="234" customFormat="1" ht="46.5" x14ac:dyDescent="0.35">
      <c r="A274" s="146">
        <v>273</v>
      </c>
      <c r="B274" s="146" t="s">
        <v>521</v>
      </c>
      <c r="C274" s="146" t="s">
        <v>522</v>
      </c>
      <c r="D274" s="146" t="s">
        <v>552</v>
      </c>
      <c r="E274" s="254">
        <f>Таблица191012[[#This Row],[Грунт]]+Таблица191012[[#This Row],[Щебень]]+Таблица191012[[#This Row],[Асфальт]]+Таблица191012[[#This Row],[Бетон]]</f>
        <v>0.4</v>
      </c>
      <c r="F274" s="311"/>
      <c r="G274" s="140">
        <v>0</v>
      </c>
      <c r="H274" s="249">
        <v>0.4</v>
      </c>
      <c r="I274" s="139"/>
      <c r="J274" s="232" t="s">
        <v>800</v>
      </c>
      <c r="N274" s="234" t="b">
        <f>OR(Таблица191012[[#This Row],[Щебень]]&gt;0,Таблица191012[[#This Row],[Асфальт]]&gt;0,Таблица191012[[#This Row],[Бетон]]&gt;0)</f>
        <v>1</v>
      </c>
      <c r="O274" s="234">
        <v>1</v>
      </c>
      <c r="Q274" s="234">
        <v>270</v>
      </c>
      <c r="S274" s="235"/>
      <c r="T274" s="235"/>
      <c r="U274" s="306"/>
      <c r="V274" s="306">
        <f>Таблица191012[[#This Row],[Грунт]]+Таблица191012[[#This Row],[Щебень]]+Таблица191012[[#This Row],[Асфальт]]+Таблица191012[[#This Row],[Бетон]]</f>
        <v>0.4</v>
      </c>
      <c r="W274" s="306"/>
      <c r="X274" s="306"/>
      <c r="Y274" s="306"/>
      <c r="Z274" s="306"/>
      <c r="AG274" s="234">
        <v>166</v>
      </c>
    </row>
    <row r="275" spans="1:33" s="234" customFormat="1" ht="46.5" x14ac:dyDescent="0.35">
      <c r="A275" s="146">
        <v>274</v>
      </c>
      <c r="B275" s="146" t="s">
        <v>523</v>
      </c>
      <c r="C275" s="146" t="s">
        <v>524</v>
      </c>
      <c r="D275" s="146" t="s">
        <v>552</v>
      </c>
      <c r="E275" s="254">
        <f>Таблица191012[[#This Row],[Грунт]]+Таблица191012[[#This Row],[Щебень]]+Таблица191012[[#This Row],[Асфальт]]+Таблица191012[[#This Row],[Бетон]]</f>
        <v>1.7190000000000001</v>
      </c>
      <c r="F275" s="311">
        <v>1.7190000000000001</v>
      </c>
      <c r="G275" s="140"/>
      <c r="H275" s="249"/>
      <c r="I275" s="139"/>
      <c r="J275" s="232"/>
      <c r="N275" s="234" t="b">
        <f>OR(Таблица191012[[#This Row],[Щебень]]&gt;0,Таблица191012[[#This Row],[Асфальт]]&gt;0,Таблица191012[[#This Row],[Бетон]]&gt;0)</f>
        <v>0</v>
      </c>
      <c r="Q275" s="234">
        <v>271</v>
      </c>
      <c r="S275" s="235"/>
      <c r="T275" s="235"/>
      <c r="U275" s="306"/>
      <c r="V275" s="306">
        <f>Таблица191012[[#This Row],[Грунт]]+Таблица191012[[#This Row],[Щебень]]+Таблица191012[[#This Row],[Асфальт]]+Таблица191012[[#This Row],[Бетон]]</f>
        <v>1.7190000000000001</v>
      </c>
      <c r="W275" s="306"/>
      <c r="X275" s="306"/>
      <c r="Y275" s="306"/>
      <c r="Z275" s="306"/>
      <c r="AG275" s="234">
        <v>167</v>
      </c>
    </row>
    <row r="276" spans="1:33" s="234" customFormat="1" ht="46.5" x14ac:dyDescent="0.35">
      <c r="A276" s="146">
        <v>275</v>
      </c>
      <c r="B276" s="146" t="s">
        <v>553</v>
      </c>
      <c r="C276" s="146" t="s">
        <v>554</v>
      </c>
      <c r="D276" s="146" t="s">
        <v>552</v>
      </c>
      <c r="E276" s="254">
        <f>Таблица191012[[#This Row],[Грунт]]+Таблица191012[[#This Row],[Щебень]]+Таблица191012[[#This Row],[Асфальт]]+Таблица191012[[#This Row],[Бетон]]</f>
        <v>3</v>
      </c>
      <c r="F276" s="311">
        <v>2.1</v>
      </c>
      <c r="G276" s="293">
        <v>0.9</v>
      </c>
      <c r="H276" s="249"/>
      <c r="I276" s="139"/>
      <c r="J276" s="232"/>
      <c r="K276" s="233" t="s">
        <v>557</v>
      </c>
      <c r="N276" s="234" t="b">
        <f>OR(Таблица191012[[#This Row],[Щебень]]&gt;0,Таблица191012[[#This Row],[Асфальт]]&gt;0,Таблица191012[[#This Row],[Бетон]]&gt;0)</f>
        <v>1</v>
      </c>
      <c r="O276" s="234">
        <v>1</v>
      </c>
      <c r="Q276" s="234">
        <v>272</v>
      </c>
      <c r="S276" s="235"/>
      <c r="T276" s="235"/>
      <c r="U276" s="306"/>
      <c r="V276" s="306">
        <f>Таблица191012[[#This Row],[Грунт]]+Таблица191012[[#This Row],[Щебень]]+Таблица191012[[#This Row],[Асфальт]]+Таблица191012[[#This Row],[Бетон]]</f>
        <v>3</v>
      </c>
      <c r="W276" s="306"/>
      <c r="X276" s="306"/>
      <c r="Y276" s="306"/>
      <c r="Z276" s="306"/>
      <c r="AG276" s="234">
        <v>168</v>
      </c>
    </row>
    <row r="277" spans="1:33" s="234" customFormat="1" ht="46.5" x14ac:dyDescent="0.35">
      <c r="A277" s="146">
        <v>276</v>
      </c>
      <c r="B277" s="146" t="s">
        <v>525</v>
      </c>
      <c r="C277" s="146" t="s">
        <v>526</v>
      </c>
      <c r="D277" s="146" t="s">
        <v>552</v>
      </c>
      <c r="E277" s="254">
        <f>Таблица191012[[#This Row],[Грунт]]+Таблица191012[[#This Row],[Щебень]]+Таблица191012[[#This Row],[Асфальт]]+Таблица191012[[#This Row],[Бетон]]</f>
        <v>6.6</v>
      </c>
      <c r="F277" s="311">
        <v>0.7</v>
      </c>
      <c r="G277" s="293">
        <v>0.9</v>
      </c>
      <c r="H277" s="249">
        <v>5</v>
      </c>
      <c r="I277" s="139"/>
      <c r="J277" s="232"/>
      <c r="N277" s="234" t="b">
        <f>OR(Таблица191012[[#This Row],[Щебень]]&gt;0,Таблица191012[[#This Row],[Асфальт]]&gt;0,Таблица191012[[#This Row],[Бетон]]&gt;0)</f>
        <v>1</v>
      </c>
      <c r="O277" s="234">
        <v>1</v>
      </c>
      <c r="Q277" s="234">
        <v>273</v>
      </c>
      <c r="S277" s="235"/>
      <c r="T277" s="235"/>
      <c r="U277" s="306"/>
      <c r="V277" s="306">
        <f>Таблица191012[[#This Row],[Грунт]]+Таблица191012[[#This Row],[Щебень]]+Таблица191012[[#This Row],[Асфальт]]+Таблица191012[[#This Row],[Бетон]]</f>
        <v>6.6</v>
      </c>
      <c r="W277" s="306"/>
      <c r="X277" s="306"/>
      <c r="Y277" s="306"/>
      <c r="Z277" s="306"/>
      <c r="AG277" s="234">
        <v>169</v>
      </c>
    </row>
    <row r="278" spans="1:33" s="234" customFormat="1" ht="46.5" x14ac:dyDescent="0.35">
      <c r="A278" s="146">
        <v>277</v>
      </c>
      <c r="B278" s="146" t="s">
        <v>812</v>
      </c>
      <c r="C278" s="146" t="s">
        <v>816</v>
      </c>
      <c r="D278" s="146" t="s">
        <v>552</v>
      </c>
      <c r="E278" s="258">
        <f>Таблица191012[[#This Row],[Грунт]]+Таблица191012[[#This Row],[Щебень]]+Таблица191012[[#This Row],[Асфальт]]+Таблица191012[[#This Row],[Бетон]]</f>
        <v>0.6</v>
      </c>
      <c r="F278" s="316"/>
      <c r="G278" s="294">
        <v>0.6</v>
      </c>
      <c r="H278" s="252"/>
      <c r="I278" s="253"/>
      <c r="J278" s="232"/>
      <c r="K278" s="235"/>
      <c r="L278" s="235"/>
      <c r="N278" s="242" t="b">
        <f>OR(Таблица191012[[#This Row],[Щебень]]&gt;0,Таблица191012[[#This Row],[Асфальт]]&gt;0,Таблица191012[[#This Row],[Бетон]]&gt;0)</f>
        <v>1</v>
      </c>
      <c r="O278" s="235"/>
      <c r="P278" s="235"/>
      <c r="Q278" s="235"/>
      <c r="R278" s="235"/>
      <c r="S278" s="235"/>
      <c r="T278" s="235"/>
      <c r="U278" s="306"/>
      <c r="V278" s="306">
        <f>Таблица191012[[#This Row],[Грунт]]+Таблица191012[[#This Row],[Щебень]]+Таблица191012[[#This Row],[Асфальт]]+Таблица191012[[#This Row],[Бетон]]</f>
        <v>0.6</v>
      </c>
      <c r="W278" s="306"/>
      <c r="X278" s="306"/>
      <c r="Y278" s="306"/>
      <c r="Z278" s="306"/>
      <c r="AG278" s="234">
        <v>170</v>
      </c>
    </row>
    <row r="279" spans="1:33" s="234" customFormat="1" ht="46.5" x14ac:dyDescent="0.35">
      <c r="A279" s="146">
        <v>278</v>
      </c>
      <c r="B279" s="146" t="s">
        <v>813</v>
      </c>
      <c r="C279" s="146" t="s">
        <v>817</v>
      </c>
      <c r="D279" s="146" t="s">
        <v>552</v>
      </c>
      <c r="E279" s="258">
        <f>Таблица191012[[#This Row],[Грунт]]+Таблица191012[[#This Row],[Щебень]]+Таблица191012[[#This Row],[Асфальт]]+Таблица191012[[#This Row],[Бетон]]</f>
        <v>0.79</v>
      </c>
      <c r="F279" s="316"/>
      <c r="G279" s="294">
        <v>0.79</v>
      </c>
      <c r="H279" s="252"/>
      <c r="I279" s="253"/>
      <c r="J279" s="232"/>
      <c r="K279" s="235"/>
      <c r="L279" s="235"/>
      <c r="N279" s="242" t="b">
        <f>OR(Таблица191012[[#This Row],[Щебень]]&gt;0,Таблица191012[[#This Row],[Асфальт]]&gt;0,Таблица191012[[#This Row],[Бетон]]&gt;0)</f>
        <v>1</v>
      </c>
      <c r="O279" s="235"/>
      <c r="P279" s="235"/>
      <c r="Q279" s="235"/>
      <c r="R279" s="235"/>
      <c r="S279" s="235"/>
      <c r="T279" s="235"/>
      <c r="U279" s="306"/>
      <c r="V279" s="306">
        <f>Таблица191012[[#This Row],[Грунт]]+Таблица191012[[#This Row],[Щебень]]+Таблица191012[[#This Row],[Асфальт]]+Таблица191012[[#This Row],[Бетон]]</f>
        <v>0.79</v>
      </c>
      <c r="W279" s="306"/>
      <c r="X279" s="306"/>
      <c r="Y279" s="306"/>
      <c r="Z279" s="306"/>
      <c r="AG279" s="234">
        <v>171</v>
      </c>
    </row>
    <row r="280" spans="1:33" s="234" customFormat="1" ht="46.5" x14ac:dyDescent="0.35">
      <c r="A280" s="146">
        <v>279</v>
      </c>
      <c r="B280" s="146" t="s">
        <v>814</v>
      </c>
      <c r="C280" s="146" t="s">
        <v>818</v>
      </c>
      <c r="D280" s="146" t="s">
        <v>552</v>
      </c>
      <c r="E280" s="258">
        <f>Таблица191012[[#This Row],[Грунт]]+Таблица191012[[#This Row],[Щебень]]+Таблица191012[[#This Row],[Асфальт]]+Таблица191012[[#This Row],[Бетон]]</f>
        <v>0.76</v>
      </c>
      <c r="F280" s="316"/>
      <c r="G280" s="294">
        <v>0.76</v>
      </c>
      <c r="H280" s="252"/>
      <c r="I280" s="253"/>
      <c r="J280" s="232"/>
      <c r="K280" s="235"/>
      <c r="L280" s="235"/>
      <c r="N280" s="242" t="b">
        <f>OR(Таблица191012[[#This Row],[Щебень]]&gt;0,Таблица191012[[#This Row],[Асфальт]]&gt;0,Таблица191012[[#This Row],[Бетон]]&gt;0)</f>
        <v>1</v>
      </c>
      <c r="O280" s="235"/>
      <c r="P280" s="235"/>
      <c r="Q280" s="235"/>
      <c r="R280" s="235"/>
      <c r="S280" s="235"/>
      <c r="T280" s="235"/>
      <c r="U280" s="306"/>
      <c r="V280" s="306">
        <f>Таблица191012[[#This Row],[Грунт]]+Таблица191012[[#This Row],[Щебень]]+Таблица191012[[#This Row],[Асфальт]]+Таблица191012[[#This Row],[Бетон]]</f>
        <v>0.76</v>
      </c>
      <c r="W280" s="306"/>
      <c r="X280" s="306"/>
      <c r="Y280" s="306"/>
      <c r="Z280" s="306"/>
      <c r="AG280" s="234">
        <v>172</v>
      </c>
    </row>
    <row r="281" spans="1:33" s="234" customFormat="1" ht="46.5" x14ac:dyDescent="0.35">
      <c r="A281" s="146">
        <v>280</v>
      </c>
      <c r="B281" s="146" t="s">
        <v>815</v>
      </c>
      <c r="C281" s="146" t="s">
        <v>819</v>
      </c>
      <c r="D281" s="146" t="s">
        <v>552</v>
      </c>
      <c r="E281" s="258">
        <f>Таблица191012[[#This Row],[Грунт]]+Таблица191012[[#This Row],[Щебень]]+Таблица191012[[#This Row],[Асфальт]]+Таблица191012[[#This Row],[Бетон]]</f>
        <v>0.63</v>
      </c>
      <c r="F281" s="316"/>
      <c r="G281" s="294">
        <v>0.63</v>
      </c>
      <c r="H281" s="252"/>
      <c r="I281" s="253"/>
      <c r="J281" s="232"/>
      <c r="K281" s="235"/>
      <c r="L281" s="235"/>
      <c r="N281" s="242" t="b">
        <f>OR(Таблица191012[[#This Row],[Щебень]]&gt;0,Таблица191012[[#This Row],[Асфальт]]&gt;0,Таблица191012[[#This Row],[Бетон]]&gt;0)</f>
        <v>1</v>
      </c>
      <c r="O281" s="235"/>
      <c r="P281" s="235"/>
      <c r="Q281" s="235"/>
      <c r="R281" s="235"/>
      <c r="S281" s="235"/>
      <c r="T281" s="235"/>
      <c r="U281" s="308"/>
      <c r="V281" s="308">
        <f>Таблица191012[[#This Row],[Грунт]]+Таблица191012[[#This Row],[Щебень]]+Таблица191012[[#This Row],[Асфальт]]+Таблица191012[[#This Row],[Бетон]]</f>
        <v>0.63</v>
      </c>
      <c r="W281" s="308"/>
      <c r="X281" s="308"/>
      <c r="Y281" s="308"/>
      <c r="Z281" s="308"/>
      <c r="AG281" s="234">
        <v>173</v>
      </c>
    </row>
    <row r="282" spans="1:33" ht="33.75" customHeight="1" x14ac:dyDescent="0.35">
      <c r="A282" s="13" t="s">
        <v>562</v>
      </c>
      <c r="B282" s="13"/>
      <c r="C282" s="13"/>
      <c r="D282" s="13"/>
      <c r="E282" s="120">
        <f>SUBTOTAL(109,Таблица191012[Протяженность(км)])</f>
        <v>495.83400000000012</v>
      </c>
      <c r="F282" s="120">
        <f>SUBTOTAL(109,Таблица191012[Грунт])</f>
        <v>320.33599999999996</v>
      </c>
      <c r="G282" s="120">
        <f>SUBTOTAL(109,Таблица191012[Щебень])</f>
        <v>59.010999999999996</v>
      </c>
      <c r="H282" s="120">
        <f>SUBTOTAL(109,Таблица191012[Асфальт])</f>
        <v>110.76699999999997</v>
      </c>
      <c r="I282" s="120">
        <f>SUBTOTAL(109,Таблица191012[Бетон])</f>
        <v>5.7200000000000006</v>
      </c>
      <c r="J282" s="120">
        <f>SUBTOTAL(109,Таблица191012[Столбец6])</f>
        <v>0</v>
      </c>
      <c r="K282" s="120">
        <f>SUBTOTAL(109,Таблица191012[ПАСПОРТИЗАЦИЯ])</f>
        <v>0</v>
      </c>
      <c r="L282" s="120">
        <f>SUBTOTAL(109,Таблица191012[МЕЖЕВАНИЕ])</f>
        <v>1.45</v>
      </c>
      <c r="M282" s="120">
        <f>SUBTOTAL(109,Таблица191012[Столбец5])</f>
        <v>0</v>
      </c>
      <c r="N282" s="120">
        <f>SUBTOTAL(109,Таблица191012[ФИЛЬТР ПО ТВЕРДОМУ])</f>
        <v>0</v>
      </c>
      <c r="O282" s="15">
        <f>SUBTOTAL(109,Таблица191012[Столбец1])</f>
        <v>101.7</v>
      </c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</row>
    <row r="283" spans="1:33" x14ac:dyDescent="0.35">
      <c r="H283" s="114"/>
      <c r="I283" s="117"/>
      <c r="J283" s="170"/>
    </row>
    <row r="299" spans="3:3" x14ac:dyDescent="0.35">
      <c r="C299" s="8" t="s">
        <v>570</v>
      </c>
    </row>
  </sheetData>
  <mergeCells count="1">
    <mergeCell ref="E1:I1"/>
  </mergeCells>
  <pageMargins left="0.7" right="0.7" top="0.75" bottom="0.75" header="0.3" footer="0.3"/>
  <pageSetup paperSize="9" scale="37" orientation="portrait" r:id="rId1"/>
  <colBreaks count="1" manualBreakCount="1">
    <brk id="10" max="1048575" man="1"/>
  </colBreaks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A69C3-14B5-4567-A8B4-5BD7888A607A}">
  <sheetPr>
    <pageSetUpPr fitToPage="1"/>
  </sheetPr>
  <dimension ref="A1:AG71"/>
  <sheetViews>
    <sheetView view="pageBreakPreview" zoomScale="60" zoomScaleNormal="100" workbookViewId="0">
      <selection activeCell="E35" sqref="E35"/>
    </sheetView>
  </sheetViews>
  <sheetFormatPr defaultColWidth="26.7109375" defaultRowHeight="23.25" x14ac:dyDescent="0.35"/>
  <cols>
    <col min="1" max="1" width="8.42578125" style="8" customWidth="1"/>
    <col min="2" max="2" width="30.28515625" style="8" customWidth="1"/>
    <col min="3" max="3" width="74.42578125" style="8" customWidth="1"/>
    <col min="4" max="4" width="27.42578125" style="8" customWidth="1"/>
    <col min="5" max="5" width="23.7109375" style="15" customWidth="1"/>
    <col min="6" max="6" width="15.28515625" style="8" customWidth="1"/>
    <col min="7" max="7" width="14.85546875" style="15" customWidth="1"/>
    <col min="8" max="8" width="20" style="8" customWidth="1"/>
    <col min="9" max="9" width="17.28515625" style="15" customWidth="1"/>
    <col min="10" max="10" width="14" style="169" hidden="1" customWidth="1"/>
    <col min="11" max="11" width="18.7109375" style="8" customWidth="1"/>
    <col min="12" max="13" width="17.7109375" style="8" hidden="1" customWidth="1"/>
    <col min="14" max="14" width="28.5703125" style="8" hidden="1" customWidth="1"/>
    <col min="15" max="31" width="0" style="8" hidden="1" customWidth="1"/>
    <col min="32" max="16384" width="26.7109375" style="8"/>
  </cols>
  <sheetData>
    <row r="1" spans="1:33" x14ac:dyDescent="0.35">
      <c r="E1" s="412" t="s">
        <v>827</v>
      </c>
      <c r="F1" s="412"/>
      <c r="G1" s="412"/>
      <c r="H1" s="412"/>
      <c r="I1" s="412"/>
      <c r="AG1" s="259"/>
    </row>
    <row r="2" spans="1:33" ht="45" x14ac:dyDescent="0.35">
      <c r="A2" s="6" t="s">
        <v>0</v>
      </c>
      <c r="B2" s="6" t="s">
        <v>1</v>
      </c>
      <c r="C2" s="6" t="s">
        <v>2</v>
      </c>
      <c r="D2" s="6" t="s">
        <v>536</v>
      </c>
      <c r="E2" s="6" t="s">
        <v>3</v>
      </c>
      <c r="F2" s="7" t="s">
        <v>528</v>
      </c>
      <c r="G2" s="7" t="s">
        <v>529</v>
      </c>
      <c r="H2" s="7" t="s">
        <v>527</v>
      </c>
      <c r="I2" s="7" t="s">
        <v>535</v>
      </c>
      <c r="J2" s="164" t="s">
        <v>799</v>
      </c>
      <c r="K2" s="7" t="s">
        <v>556</v>
      </c>
      <c r="L2" s="7" t="s">
        <v>559</v>
      </c>
      <c r="M2" s="7" t="s">
        <v>798</v>
      </c>
      <c r="N2" s="7" t="s">
        <v>565</v>
      </c>
      <c r="O2" s="7" t="s">
        <v>566</v>
      </c>
      <c r="P2" s="7" t="s">
        <v>568</v>
      </c>
      <c r="Q2" s="7" t="s">
        <v>794</v>
      </c>
      <c r="R2" s="7" t="s">
        <v>795</v>
      </c>
      <c r="S2" s="231" t="s">
        <v>805</v>
      </c>
      <c r="T2" s="231" t="s">
        <v>806</v>
      </c>
    </row>
    <row r="3" spans="1:33" s="298" customFormat="1" ht="61.5" x14ac:dyDescent="0.5">
      <c r="A3" s="297">
        <v>1</v>
      </c>
      <c r="B3" s="297" t="s">
        <v>14</v>
      </c>
      <c r="C3" s="297" t="s">
        <v>555</v>
      </c>
      <c r="D3" s="297" t="s">
        <v>537</v>
      </c>
      <c r="E3" s="297" t="e">
        <f>#REF!+#REF!+#REF!+#REF!</f>
        <v>#REF!</v>
      </c>
      <c r="F3" s="296">
        <v>3.5</v>
      </c>
      <c r="G3" s="296"/>
      <c r="H3" s="296"/>
      <c r="I3" s="296"/>
      <c r="L3" s="298" t="e">
        <f>OR(#REF!&gt;0,#REF!&gt;0,#REF!&gt;0)</f>
        <v>#REF!</v>
      </c>
      <c r="O3" s="298">
        <v>3</v>
      </c>
    </row>
    <row r="4" spans="1:33" s="298" customFormat="1" ht="61.5" hidden="1" x14ac:dyDescent="0.5">
      <c r="A4" s="297">
        <v>2</v>
      </c>
      <c r="B4" s="297" t="s">
        <v>15</v>
      </c>
      <c r="C4" s="297" t="s">
        <v>16</v>
      </c>
      <c r="D4" s="297" t="s">
        <v>549</v>
      </c>
      <c r="E4" s="297" t="e">
        <f>#REF!+#REF!+#REF!+#REF!</f>
        <v>#REF!</v>
      </c>
      <c r="F4" s="296">
        <v>3.5</v>
      </c>
      <c r="G4" s="296"/>
      <c r="H4" s="296"/>
      <c r="I4" s="296"/>
      <c r="L4" s="298" t="e">
        <f>OR(#REF!&gt;0,#REF!&gt;0,#REF!&gt;0)</f>
        <v>#REF!</v>
      </c>
      <c r="O4" s="298">
        <v>4</v>
      </c>
    </row>
    <row r="5" spans="1:33" s="298" customFormat="1" ht="61.5" hidden="1" x14ac:dyDescent="0.5">
      <c r="A5" s="297">
        <v>3</v>
      </c>
      <c r="B5" s="297" t="s">
        <v>17</v>
      </c>
      <c r="C5" s="297" t="s">
        <v>18</v>
      </c>
      <c r="D5" s="297" t="s">
        <v>549</v>
      </c>
      <c r="E5" s="297" t="e">
        <f>#REF!+#REF!+#REF!+#REF!</f>
        <v>#REF!</v>
      </c>
      <c r="F5" s="296">
        <v>1.5</v>
      </c>
      <c r="G5" s="296"/>
      <c r="H5" s="296"/>
      <c r="I5" s="296"/>
      <c r="L5" s="298" t="e">
        <f>OR(#REF!&gt;0,#REF!&gt;0,#REF!&gt;0)</f>
        <v>#REF!</v>
      </c>
      <c r="O5" s="299">
        <v>11</v>
      </c>
    </row>
    <row r="6" spans="1:33" s="298" customFormat="1" ht="61.5" hidden="1" x14ac:dyDescent="0.5">
      <c r="A6" s="297">
        <v>4</v>
      </c>
      <c r="B6" s="297" t="s">
        <v>19</v>
      </c>
      <c r="C6" s="297" t="s">
        <v>20</v>
      </c>
      <c r="D6" s="297" t="s">
        <v>549</v>
      </c>
      <c r="E6" s="297" t="e">
        <f>#REF!+#REF!+#REF!+#REF!</f>
        <v>#REF!</v>
      </c>
      <c r="F6" s="296">
        <v>1.5</v>
      </c>
      <c r="G6" s="296"/>
      <c r="H6" s="296"/>
      <c r="I6" s="296"/>
      <c r="L6" s="298" t="e">
        <f>OR(#REF!&gt;0,#REF!&gt;0,#REF!&gt;0)</f>
        <v>#REF!</v>
      </c>
      <c r="O6" s="298">
        <v>0</v>
      </c>
    </row>
    <row r="7" spans="1:33" s="298" customFormat="1" ht="61.5" hidden="1" x14ac:dyDescent="0.5">
      <c r="A7" s="297">
        <v>5</v>
      </c>
      <c r="B7" s="297" t="s">
        <v>25</v>
      </c>
      <c r="C7" s="297" t="s">
        <v>26</v>
      </c>
      <c r="D7" s="297" t="s">
        <v>549</v>
      </c>
      <c r="E7" s="297" t="e">
        <f>#REF!+#REF!+#REF!+#REF!</f>
        <v>#REF!</v>
      </c>
      <c r="F7" s="296">
        <v>3.5</v>
      </c>
      <c r="G7" s="296"/>
      <c r="H7" s="296"/>
      <c r="I7" s="296"/>
      <c r="L7" s="298" t="e">
        <f>OR(#REF!&gt;0,#REF!&gt;0,#REF!&gt;0)</f>
        <v>#REF!</v>
      </c>
      <c r="O7" s="298">
        <v>7</v>
      </c>
    </row>
    <row r="8" spans="1:33" s="298" customFormat="1" ht="61.5" hidden="1" x14ac:dyDescent="0.5">
      <c r="A8" s="297">
        <v>6</v>
      </c>
      <c r="B8" s="297" t="s">
        <v>27</v>
      </c>
      <c r="C8" s="297" t="s">
        <v>28</v>
      </c>
      <c r="D8" s="297" t="s">
        <v>544</v>
      </c>
      <c r="E8" s="297" t="e">
        <f>#REF!+#REF!+#REF!+#REF!</f>
        <v>#REF!</v>
      </c>
      <c r="F8" s="296">
        <v>2</v>
      </c>
      <c r="G8" s="296"/>
      <c r="H8" s="296"/>
      <c r="I8" s="296"/>
      <c r="L8" s="298" t="e">
        <f>OR(#REF!&gt;0,#REF!&gt;0,#REF!&gt;0)</f>
        <v>#REF!</v>
      </c>
      <c r="O8" s="299">
        <v>22</v>
      </c>
    </row>
    <row r="9" spans="1:33" s="298" customFormat="1" ht="61.5" hidden="1" x14ac:dyDescent="0.5">
      <c r="A9" s="297">
        <v>7</v>
      </c>
      <c r="B9" s="297" t="s">
        <v>31</v>
      </c>
      <c r="C9" s="297" t="s">
        <v>32</v>
      </c>
      <c r="D9" s="297" t="s">
        <v>544</v>
      </c>
      <c r="E9" s="297" t="e">
        <f>#REF!+#REF!+#REF!+#REF!</f>
        <v>#REF!</v>
      </c>
      <c r="F9" s="296">
        <v>2.15</v>
      </c>
      <c r="G9" s="296">
        <v>0.9</v>
      </c>
      <c r="H9" s="296"/>
      <c r="I9" s="296"/>
      <c r="L9" s="298" t="e">
        <f>OR(#REF!&gt;0,#REF!&gt;0,#REF!&gt;0)</f>
        <v>#REF!</v>
      </c>
      <c r="O9" s="299">
        <v>25</v>
      </c>
    </row>
    <row r="10" spans="1:33" s="298" customFormat="1" ht="61.5" hidden="1" x14ac:dyDescent="0.5">
      <c r="A10" s="297">
        <v>8</v>
      </c>
      <c r="B10" s="297" t="s">
        <v>33</v>
      </c>
      <c r="C10" s="297" t="s">
        <v>34</v>
      </c>
      <c r="D10" s="297" t="s">
        <v>544</v>
      </c>
      <c r="E10" s="297" t="e">
        <f>#REF!+#REF!+#REF!+#REF!</f>
        <v>#REF!</v>
      </c>
      <c r="F10" s="296">
        <v>2</v>
      </c>
      <c r="G10" s="296"/>
      <c r="H10" s="296"/>
      <c r="I10" s="296"/>
      <c r="L10" s="298" t="e">
        <f>OR(#REF!&gt;0,#REF!&gt;0,#REF!&gt;0)</f>
        <v>#REF!</v>
      </c>
      <c r="O10" s="298">
        <v>7</v>
      </c>
    </row>
    <row r="11" spans="1:33" s="298" customFormat="1" ht="61.5" hidden="1" x14ac:dyDescent="0.5">
      <c r="A11" s="297">
        <v>9</v>
      </c>
      <c r="B11" s="297" t="s">
        <v>41</v>
      </c>
      <c r="C11" s="297" t="s">
        <v>42</v>
      </c>
      <c r="D11" s="297" t="s">
        <v>551</v>
      </c>
      <c r="E11" s="297" t="e">
        <f>#REF!+#REF!+#REF!+#REF!</f>
        <v>#REF!</v>
      </c>
      <c r="F11" s="296">
        <v>2</v>
      </c>
      <c r="G11" s="296"/>
      <c r="H11" s="296"/>
      <c r="I11" s="296"/>
      <c r="L11" s="298" t="e">
        <f>OR(#REF!&gt;0,#REF!&gt;0,#REF!&gt;0)</f>
        <v>#REF!</v>
      </c>
      <c r="O11" s="298">
        <v>1</v>
      </c>
    </row>
    <row r="12" spans="1:33" s="298" customFormat="1" ht="61.5" hidden="1" x14ac:dyDescent="0.5">
      <c r="A12" s="297">
        <v>10</v>
      </c>
      <c r="B12" s="297" t="s">
        <v>43</v>
      </c>
      <c r="C12" s="297" t="s">
        <v>44</v>
      </c>
      <c r="D12" s="297" t="s">
        <v>551</v>
      </c>
      <c r="E12" s="297" t="e">
        <f>#REF!+#REF!+#REF!+#REF!</f>
        <v>#REF!</v>
      </c>
      <c r="F12" s="296">
        <v>3</v>
      </c>
      <c r="G12" s="296"/>
      <c r="H12" s="296"/>
      <c r="I12" s="296"/>
      <c r="L12" s="298" t="e">
        <f>OR(#REF!&gt;0,#REF!&gt;0,#REF!&gt;0)</f>
        <v>#REF!</v>
      </c>
      <c r="O12" s="298">
        <v>0</v>
      </c>
    </row>
    <row r="13" spans="1:33" s="298" customFormat="1" ht="61.5" hidden="1" x14ac:dyDescent="0.5">
      <c r="A13" s="297">
        <v>11</v>
      </c>
      <c r="B13" s="297" t="s">
        <v>45</v>
      </c>
      <c r="C13" s="297" t="s">
        <v>46</v>
      </c>
      <c r="D13" s="297" t="s">
        <v>540</v>
      </c>
      <c r="E13" s="297" t="e">
        <f>#REF!+#REF!+#REF!+#REF!</f>
        <v>#REF!</v>
      </c>
      <c r="F13" s="296">
        <v>2</v>
      </c>
      <c r="G13" s="296"/>
      <c r="H13" s="296"/>
      <c r="I13" s="296"/>
      <c r="L13" s="298" t="e">
        <f>OR(#REF!&gt;0,#REF!&gt;0,#REF!&gt;0)</f>
        <v>#REF!</v>
      </c>
      <c r="O13" s="298">
        <v>7</v>
      </c>
    </row>
    <row r="14" spans="1:33" s="298" customFormat="1" ht="61.5" hidden="1" x14ac:dyDescent="0.5">
      <c r="A14" s="297">
        <v>12</v>
      </c>
      <c r="B14" s="297" t="s">
        <v>47</v>
      </c>
      <c r="C14" s="297" t="s">
        <v>48</v>
      </c>
      <c r="D14" s="297" t="s">
        <v>540</v>
      </c>
      <c r="E14" s="297" t="e">
        <f>#REF!+#REF!+#REF!+#REF!</f>
        <v>#REF!</v>
      </c>
      <c r="F14" s="296">
        <v>2</v>
      </c>
      <c r="G14" s="296"/>
      <c r="H14" s="296"/>
      <c r="I14" s="296"/>
      <c r="L14" s="298" t="e">
        <f>OR(#REF!&gt;0,#REF!&gt;0,#REF!&gt;0)</f>
        <v>#REF!</v>
      </c>
      <c r="O14" s="298">
        <v>0</v>
      </c>
    </row>
    <row r="15" spans="1:33" s="298" customFormat="1" ht="61.5" hidden="1" x14ac:dyDescent="0.5">
      <c r="A15" s="297">
        <v>13</v>
      </c>
      <c r="B15" s="297" t="s">
        <v>49</v>
      </c>
      <c r="C15" s="297" t="s">
        <v>50</v>
      </c>
      <c r="D15" s="297" t="s">
        <v>540</v>
      </c>
      <c r="E15" s="297" t="e">
        <f>#REF!+#REF!+#REF!+#REF!</f>
        <v>#REF!</v>
      </c>
      <c r="F15" s="296">
        <v>1</v>
      </c>
      <c r="G15" s="296"/>
      <c r="H15" s="296"/>
      <c r="I15" s="296"/>
      <c r="L15" s="298" t="e">
        <f>OR(#REF!&gt;0,#REF!&gt;0,#REF!&gt;0)</f>
        <v>#REF!</v>
      </c>
      <c r="O15" s="298">
        <v>11</v>
      </c>
    </row>
    <row r="16" spans="1:33" s="298" customFormat="1" ht="61.5" hidden="1" x14ac:dyDescent="0.5">
      <c r="A16" s="297">
        <v>14</v>
      </c>
      <c r="B16" s="297" t="s">
        <v>53</v>
      </c>
      <c r="C16" s="297" t="s">
        <v>54</v>
      </c>
      <c r="D16" s="297" t="s">
        <v>540</v>
      </c>
      <c r="E16" s="297" t="e">
        <f>#REF!+#REF!+#REF!+#REF!</f>
        <v>#REF!</v>
      </c>
      <c r="F16" s="296">
        <v>2</v>
      </c>
      <c r="G16" s="296"/>
      <c r="H16" s="296"/>
      <c r="I16" s="296"/>
      <c r="L16" s="298" t="e">
        <f>OR(#REF!&gt;0,#REF!&gt;0,#REF!&gt;0)</f>
        <v>#REF!</v>
      </c>
      <c r="O16" s="298">
        <v>19</v>
      </c>
    </row>
    <row r="17" spans="1:15" s="298" customFormat="1" ht="61.5" hidden="1" x14ac:dyDescent="0.5">
      <c r="A17" s="297">
        <v>15</v>
      </c>
      <c r="B17" s="297" t="s">
        <v>55</v>
      </c>
      <c r="C17" s="297" t="s">
        <v>56</v>
      </c>
      <c r="D17" s="297" t="s">
        <v>540</v>
      </c>
      <c r="E17" s="297" t="e">
        <f>#REF!+#REF!+#REF!+#REF!</f>
        <v>#REF!</v>
      </c>
      <c r="F17" s="296">
        <v>1</v>
      </c>
      <c r="G17" s="296"/>
      <c r="H17" s="296"/>
      <c r="I17" s="296"/>
      <c r="L17" s="298" t="e">
        <f>OR(#REF!&gt;0,#REF!&gt;0,#REF!&gt;0)</f>
        <v>#REF!</v>
      </c>
      <c r="O17" s="298">
        <v>0</v>
      </c>
    </row>
    <row r="18" spans="1:15" s="298" customFormat="1" ht="92.25" hidden="1" x14ac:dyDescent="0.5">
      <c r="A18" s="297">
        <v>16</v>
      </c>
      <c r="B18" s="297" t="s">
        <v>70</v>
      </c>
      <c r="C18" s="297" t="s">
        <v>531</v>
      </c>
      <c r="D18" s="297" t="s">
        <v>542</v>
      </c>
      <c r="E18" s="297" t="e">
        <f>#REF!+#REF!+#REF!+#REF!</f>
        <v>#REF!</v>
      </c>
      <c r="F18" s="296">
        <v>1</v>
      </c>
      <c r="G18" s="296"/>
      <c r="H18" s="296"/>
      <c r="I18" s="296"/>
      <c r="L18" s="298" t="e">
        <f>OR(#REF!&gt;0,#REF!&gt;0,#REF!&gt;0)</f>
        <v>#REF!</v>
      </c>
      <c r="O18" s="298">
        <v>4</v>
      </c>
    </row>
    <row r="19" spans="1:15" s="298" customFormat="1" ht="61.5" hidden="1" x14ac:dyDescent="0.5">
      <c r="A19" s="297">
        <v>17</v>
      </c>
      <c r="B19" s="297" t="s">
        <v>71</v>
      </c>
      <c r="C19" s="297" t="s">
        <v>72</v>
      </c>
      <c r="D19" s="297" t="s">
        <v>542</v>
      </c>
      <c r="E19" s="297" t="e">
        <f>#REF!+#REF!+#REF!+#REF!</f>
        <v>#REF!</v>
      </c>
      <c r="F19" s="296">
        <v>1</v>
      </c>
      <c r="G19" s="296"/>
      <c r="H19" s="296"/>
      <c r="I19" s="296"/>
      <c r="L19" s="298" t="e">
        <f>OR(#REF!&gt;0,#REF!&gt;0,#REF!&gt;0)</f>
        <v>#REF!</v>
      </c>
      <c r="O19" s="298">
        <v>2</v>
      </c>
    </row>
    <row r="20" spans="1:15" s="298" customFormat="1" ht="61.5" hidden="1" x14ac:dyDescent="0.5">
      <c r="A20" s="297">
        <v>18</v>
      </c>
      <c r="B20" s="297" t="s">
        <v>73</v>
      </c>
      <c r="C20" s="297" t="s">
        <v>74</v>
      </c>
      <c r="D20" s="297" t="s">
        <v>546</v>
      </c>
      <c r="E20" s="297" t="e">
        <f>#REF!+#REF!+#REF!+#REF!</f>
        <v>#REF!</v>
      </c>
      <c r="F20" s="296">
        <v>2</v>
      </c>
      <c r="G20" s="296"/>
      <c r="H20" s="296"/>
      <c r="I20" s="296"/>
      <c r="L20" s="298" t="e">
        <f>OR(#REF!&gt;0,#REF!&gt;0,#REF!&gt;0)</f>
        <v>#REF!</v>
      </c>
      <c r="O20" s="299">
        <v>21</v>
      </c>
    </row>
    <row r="21" spans="1:15" s="298" customFormat="1" ht="41.25" hidden="1" customHeight="1" x14ac:dyDescent="0.5">
      <c r="A21" s="297">
        <v>19</v>
      </c>
      <c r="B21" s="297" t="s">
        <v>75</v>
      </c>
      <c r="C21" s="297" t="s">
        <v>76</v>
      </c>
      <c r="D21" s="297" t="s">
        <v>782</v>
      </c>
      <c r="E21" s="297" t="e">
        <f>#REF!+#REF!+#REF!+#REF!</f>
        <v>#REF!</v>
      </c>
      <c r="F21" s="296">
        <v>3</v>
      </c>
      <c r="G21" s="296"/>
      <c r="H21" s="296"/>
      <c r="I21" s="296"/>
      <c r="L21" s="298" t="e">
        <f>OR(#REF!&gt;0,#REF!&gt;0,#REF!&gt;0)</f>
        <v>#REF!</v>
      </c>
      <c r="O21" s="298">
        <v>13</v>
      </c>
    </row>
    <row r="22" spans="1:15" s="298" customFormat="1" ht="61.5" hidden="1" x14ac:dyDescent="0.5">
      <c r="A22" s="297">
        <v>20</v>
      </c>
      <c r="B22" s="297" t="s">
        <v>79</v>
      </c>
      <c r="C22" s="297" t="s">
        <v>532</v>
      </c>
      <c r="D22" s="297" t="s">
        <v>546</v>
      </c>
      <c r="E22" s="297" t="e">
        <f>#REF!+#REF!+#REF!+#REF!</f>
        <v>#REF!</v>
      </c>
      <c r="F22" s="296">
        <v>3</v>
      </c>
      <c r="G22" s="296"/>
      <c r="H22" s="296"/>
      <c r="I22" s="296"/>
      <c r="L22" s="298" t="e">
        <f>OR(#REF!&gt;0,#REF!&gt;0,#REF!&gt;0)</f>
        <v>#REF!</v>
      </c>
      <c r="O22" s="299">
        <v>5</v>
      </c>
    </row>
    <row r="23" spans="1:15" s="298" customFormat="1" ht="61.5" hidden="1" x14ac:dyDescent="0.5">
      <c r="A23" s="297">
        <v>21</v>
      </c>
      <c r="B23" s="297" t="s">
        <v>82</v>
      </c>
      <c r="C23" s="297" t="s">
        <v>83</v>
      </c>
      <c r="D23" s="297" t="s">
        <v>546</v>
      </c>
      <c r="E23" s="297" t="e">
        <f>#REF!+#REF!+#REF!+#REF!</f>
        <v>#REF!</v>
      </c>
      <c r="F23" s="296">
        <v>4</v>
      </c>
      <c r="G23" s="296"/>
      <c r="H23" s="296"/>
      <c r="I23" s="296"/>
      <c r="L23" s="298" t="e">
        <f>OR(#REF!&gt;0,#REF!&gt;0,#REF!&gt;0)</f>
        <v>#REF!</v>
      </c>
      <c r="O23" s="299">
        <v>9</v>
      </c>
    </row>
    <row r="24" spans="1:15" s="298" customFormat="1" ht="92.25" hidden="1" x14ac:dyDescent="0.5">
      <c r="A24" s="297">
        <v>22</v>
      </c>
      <c r="B24" s="297" t="s">
        <v>92</v>
      </c>
      <c r="C24" s="297" t="s">
        <v>93</v>
      </c>
      <c r="D24" s="297" t="s">
        <v>539</v>
      </c>
      <c r="E24" s="297" t="e">
        <f>#REF!+#REF!+#REF!+#REF!</f>
        <v>#REF!</v>
      </c>
      <c r="F24" s="296">
        <v>5</v>
      </c>
      <c r="G24" s="296"/>
      <c r="H24" s="296"/>
      <c r="I24" s="296"/>
      <c r="L24" s="298" t="e">
        <f>OR(#REF!&gt;0,#REF!&gt;0,#REF!&gt;0)</f>
        <v>#REF!</v>
      </c>
      <c r="O24" s="298">
        <v>7</v>
      </c>
    </row>
    <row r="25" spans="1:15" s="298" customFormat="1" ht="92.25" hidden="1" x14ac:dyDescent="0.5">
      <c r="A25" s="297">
        <v>23</v>
      </c>
      <c r="B25" s="297" t="s">
        <v>96</v>
      </c>
      <c r="C25" s="297" t="s">
        <v>97</v>
      </c>
      <c r="D25" s="297" t="s">
        <v>539</v>
      </c>
      <c r="E25" s="297" t="e">
        <f>#REF!+#REF!+#REF!+#REF!</f>
        <v>#REF!</v>
      </c>
      <c r="F25" s="296">
        <v>4</v>
      </c>
      <c r="G25" s="296"/>
      <c r="H25" s="296"/>
      <c r="I25" s="296"/>
      <c r="L25" s="298" t="e">
        <f>OR(#REF!&gt;0,#REF!&gt;0,#REF!&gt;0)</f>
        <v>#REF!</v>
      </c>
      <c r="O25" s="299">
        <v>3</v>
      </c>
    </row>
    <row r="26" spans="1:15" s="298" customFormat="1" ht="92.25" hidden="1" x14ac:dyDescent="0.5">
      <c r="A26" s="297">
        <v>24</v>
      </c>
      <c r="B26" s="297" t="s">
        <v>98</v>
      </c>
      <c r="C26" s="297" t="s">
        <v>99</v>
      </c>
      <c r="D26" s="297" t="s">
        <v>539</v>
      </c>
      <c r="E26" s="297" t="e">
        <f>#REF!+#REF!+#REF!+#REF!</f>
        <v>#REF!</v>
      </c>
      <c r="F26" s="296">
        <v>2</v>
      </c>
      <c r="G26" s="296"/>
      <c r="H26" s="296"/>
      <c r="I26" s="296"/>
      <c r="L26" s="298" t="e">
        <f>OR(#REF!&gt;0,#REF!&gt;0,#REF!&gt;0)</f>
        <v>#REF!</v>
      </c>
      <c r="O26" s="298">
        <v>2</v>
      </c>
    </row>
    <row r="27" spans="1:15" s="298" customFormat="1" ht="92.25" hidden="1" x14ac:dyDescent="0.5">
      <c r="A27" s="297">
        <v>25</v>
      </c>
      <c r="B27" s="297" t="s">
        <v>104</v>
      </c>
      <c r="C27" s="297" t="s">
        <v>105</v>
      </c>
      <c r="D27" s="297" t="s">
        <v>539</v>
      </c>
      <c r="E27" s="297" t="e">
        <f>#REF!+#REF!+#REF!+#REF!</f>
        <v>#REF!</v>
      </c>
      <c r="F27" s="296">
        <v>2</v>
      </c>
      <c r="G27" s="296"/>
      <c r="H27" s="296"/>
      <c r="I27" s="296"/>
      <c r="L27" s="298" t="e">
        <f>OR(#REF!&gt;0,#REF!&gt;0,#REF!&gt;0)</f>
        <v>#REF!</v>
      </c>
      <c r="O27" s="298">
        <v>1</v>
      </c>
    </row>
    <row r="28" spans="1:15" s="298" customFormat="1" ht="92.25" hidden="1" x14ac:dyDescent="0.5">
      <c r="A28" s="297">
        <v>26</v>
      </c>
      <c r="B28" s="297" t="s">
        <v>106</v>
      </c>
      <c r="C28" s="297" t="s">
        <v>107</v>
      </c>
      <c r="D28" s="297" t="s">
        <v>539</v>
      </c>
      <c r="E28" s="297" t="e">
        <f>#REF!+#REF!+#REF!+#REF!</f>
        <v>#REF!</v>
      </c>
      <c r="F28" s="296">
        <v>2</v>
      </c>
      <c r="G28" s="296"/>
      <c r="H28" s="296"/>
      <c r="I28" s="296"/>
      <c r="L28" s="298" t="e">
        <f>OR(#REF!&gt;0,#REF!&gt;0,#REF!&gt;0)</f>
        <v>#REF!</v>
      </c>
      <c r="O28" s="298">
        <v>7</v>
      </c>
    </row>
    <row r="29" spans="1:15" s="298" customFormat="1" ht="92.25" hidden="1" x14ac:dyDescent="0.5">
      <c r="A29" s="297">
        <v>27</v>
      </c>
      <c r="B29" s="297" t="s">
        <v>108</v>
      </c>
      <c r="C29" s="297" t="s">
        <v>109</v>
      </c>
      <c r="D29" s="297" t="s">
        <v>539</v>
      </c>
      <c r="E29" s="297" t="e">
        <f>#REF!+#REF!+#REF!+#REF!</f>
        <v>#REF!</v>
      </c>
      <c r="F29" s="296">
        <v>2</v>
      </c>
      <c r="G29" s="296"/>
      <c r="H29" s="296"/>
      <c r="I29" s="296"/>
      <c r="L29" s="298" t="e">
        <f>OR(#REF!&gt;0,#REF!&gt;0,#REF!&gt;0)</f>
        <v>#REF!</v>
      </c>
      <c r="O29" s="298">
        <v>1</v>
      </c>
    </row>
    <row r="30" spans="1:15" s="298" customFormat="1" ht="61.5" hidden="1" x14ac:dyDescent="0.5">
      <c r="A30" s="297">
        <v>28</v>
      </c>
      <c r="B30" s="297" t="s">
        <v>119</v>
      </c>
      <c r="C30" s="297" t="s">
        <v>120</v>
      </c>
      <c r="D30" s="297" t="s">
        <v>548</v>
      </c>
      <c r="E30" s="297" t="e">
        <f>#REF!+#REF!+#REF!+#REF!</f>
        <v>#REF!</v>
      </c>
      <c r="F30" s="296">
        <v>2.5</v>
      </c>
      <c r="G30" s="296"/>
      <c r="H30" s="296"/>
      <c r="I30" s="296"/>
      <c r="L30" s="298" t="e">
        <f>OR(#REF!&gt;0,#REF!&gt;0,#REF!&gt;0)</f>
        <v>#REF!</v>
      </c>
      <c r="O30" s="298">
        <v>12</v>
      </c>
    </row>
    <row r="31" spans="1:15" s="298" customFormat="1" ht="61.5" hidden="1" x14ac:dyDescent="0.5">
      <c r="A31" s="297">
        <v>29</v>
      </c>
      <c r="B31" s="297" t="s">
        <v>125</v>
      </c>
      <c r="C31" s="297" t="s">
        <v>126</v>
      </c>
      <c r="D31" s="297" t="s">
        <v>545</v>
      </c>
      <c r="E31" s="297" t="e">
        <f>#REF!+#REF!+#REF!+#REF!</f>
        <v>#REF!</v>
      </c>
      <c r="F31" s="296">
        <v>3.5</v>
      </c>
      <c r="G31" s="296"/>
      <c r="H31" s="296"/>
      <c r="I31" s="296"/>
      <c r="L31" s="298" t="e">
        <f>OR(#REF!&gt;0,#REF!&gt;0,#REF!&gt;0)</f>
        <v>#REF!</v>
      </c>
      <c r="O31" s="298">
        <v>0</v>
      </c>
    </row>
    <row r="32" spans="1:15" s="298" customFormat="1" ht="61.5" hidden="1" x14ac:dyDescent="0.5">
      <c r="A32" s="297">
        <v>30</v>
      </c>
      <c r="B32" s="297" t="s">
        <v>127</v>
      </c>
      <c r="C32" s="297" t="s">
        <v>128</v>
      </c>
      <c r="D32" s="297" t="s">
        <v>545</v>
      </c>
      <c r="E32" s="297" t="e">
        <f>#REF!+#REF!+#REF!+#REF!</f>
        <v>#REF!</v>
      </c>
      <c r="F32" s="296">
        <v>3</v>
      </c>
      <c r="G32" s="296"/>
      <c r="H32" s="296"/>
      <c r="I32" s="296"/>
      <c r="L32" s="298" t="e">
        <f>OR(#REF!&gt;0,#REF!&gt;0,#REF!&gt;0)</f>
        <v>#REF!</v>
      </c>
      <c r="O32" s="298">
        <v>0</v>
      </c>
    </row>
    <row r="33" spans="1:15" s="298" customFormat="1" ht="61.5" hidden="1" x14ac:dyDescent="0.5">
      <c r="A33" s="297">
        <v>31</v>
      </c>
      <c r="B33" s="297" t="s">
        <v>133</v>
      </c>
      <c r="C33" s="297" t="s">
        <v>134</v>
      </c>
      <c r="D33" s="297" t="s">
        <v>545</v>
      </c>
      <c r="E33" s="297" t="e">
        <f>#REF!+#REF!+#REF!+#REF!</f>
        <v>#REF!</v>
      </c>
      <c r="F33" s="296">
        <v>4</v>
      </c>
      <c r="G33" s="296"/>
      <c r="H33" s="296"/>
      <c r="I33" s="296"/>
      <c r="L33" s="298" t="e">
        <f>OR(#REF!&gt;0,#REF!&gt;0,#REF!&gt;0)</f>
        <v>#REF!</v>
      </c>
      <c r="O33" s="298">
        <v>17</v>
      </c>
    </row>
    <row r="34" spans="1:15" s="298" customFormat="1" ht="61.5" hidden="1" x14ac:dyDescent="0.5">
      <c r="A34" s="297">
        <v>32</v>
      </c>
      <c r="B34" s="297" t="s">
        <v>135</v>
      </c>
      <c r="C34" s="297" t="s">
        <v>136</v>
      </c>
      <c r="D34" s="297" t="s">
        <v>545</v>
      </c>
      <c r="E34" s="297" t="e">
        <f>#REF!+#REF!+#REF!+#REF!</f>
        <v>#REF!</v>
      </c>
      <c r="F34" s="296">
        <v>0.2</v>
      </c>
      <c r="G34" s="296"/>
      <c r="H34" s="296"/>
      <c r="I34" s="296"/>
      <c r="L34" s="298" t="e">
        <f>OR(#REF!&gt;0,#REF!&gt;0,#REF!&gt;0)</f>
        <v>#REF!</v>
      </c>
      <c r="O34" s="299">
        <v>6</v>
      </c>
    </row>
    <row r="35" spans="1:15" s="298" customFormat="1" ht="61.5" x14ac:dyDescent="0.5">
      <c r="A35" s="297">
        <v>33</v>
      </c>
      <c r="B35" s="297" t="s">
        <v>149</v>
      </c>
      <c r="C35" s="297" t="s">
        <v>150</v>
      </c>
      <c r="D35" s="297" t="s">
        <v>543</v>
      </c>
      <c r="E35" s="297" t="e">
        <f>#REF!+#REF!+#REF!+#REF!</f>
        <v>#REF!</v>
      </c>
      <c r="F35" s="296">
        <v>0.5</v>
      </c>
      <c r="G35" s="296"/>
      <c r="H35" s="296"/>
      <c r="I35" s="296"/>
      <c r="L35" s="298" t="e">
        <f>OR(#REF!&gt;0,#REF!&gt;0,#REF!&gt;0)</f>
        <v>#REF!</v>
      </c>
      <c r="O35" s="299">
        <v>6</v>
      </c>
    </row>
    <row r="36" spans="1:15" s="298" customFormat="1" ht="61.5" hidden="1" x14ac:dyDescent="0.5">
      <c r="A36" s="297">
        <v>34</v>
      </c>
      <c r="B36" s="297" t="s">
        <v>151</v>
      </c>
      <c r="C36" s="297" t="s">
        <v>152</v>
      </c>
      <c r="D36" s="297" t="s">
        <v>543</v>
      </c>
      <c r="E36" s="297" t="e">
        <f>#REF!+#REF!+#REF!+#REF!</f>
        <v>#REF!</v>
      </c>
      <c r="F36" s="296"/>
      <c r="G36" s="296"/>
      <c r="H36" s="296">
        <v>1</v>
      </c>
      <c r="I36" s="296"/>
      <c r="L36" s="298" t="e">
        <f>OR(#REF!&gt;0,#REF!&gt;0,#REF!&gt;0)</f>
        <v>#REF!</v>
      </c>
      <c r="M36" s="298">
        <v>1</v>
      </c>
    </row>
    <row r="37" spans="1:15" s="298" customFormat="1" ht="61.5" hidden="1" x14ac:dyDescent="0.5">
      <c r="A37" s="297">
        <v>35</v>
      </c>
      <c r="B37" s="297" t="s">
        <v>155</v>
      </c>
      <c r="C37" s="297" t="s">
        <v>156</v>
      </c>
      <c r="D37" s="297" t="s">
        <v>543</v>
      </c>
      <c r="E37" s="297" t="e">
        <f>#REF!+#REF!+#REF!+#REF!</f>
        <v>#REF!</v>
      </c>
      <c r="F37" s="296">
        <v>2</v>
      </c>
      <c r="G37" s="296"/>
      <c r="H37" s="296"/>
      <c r="I37" s="296"/>
      <c r="L37" s="298" t="e">
        <f>OR(#REF!&gt;0,#REF!&gt;0,#REF!&gt;0)</f>
        <v>#REF!</v>
      </c>
      <c r="O37" s="298">
        <v>0</v>
      </c>
    </row>
    <row r="38" spans="1:15" s="298" customFormat="1" ht="61.5" hidden="1" x14ac:dyDescent="0.5">
      <c r="A38" s="297">
        <v>36</v>
      </c>
      <c r="B38" s="297" t="s">
        <v>159</v>
      </c>
      <c r="C38" s="297" t="s">
        <v>160</v>
      </c>
      <c r="D38" s="297" t="s">
        <v>543</v>
      </c>
      <c r="E38" s="297" t="e">
        <f>#REF!+#REF!+#REF!+#REF!</f>
        <v>#REF!</v>
      </c>
      <c r="F38" s="296">
        <v>3</v>
      </c>
      <c r="G38" s="296"/>
      <c r="H38" s="296"/>
      <c r="I38" s="296"/>
      <c r="L38" s="298" t="e">
        <f>OR(#REF!&gt;0,#REF!&gt;0,#REF!&gt;0)</f>
        <v>#REF!</v>
      </c>
      <c r="O38" s="298">
        <v>2</v>
      </c>
    </row>
    <row r="39" spans="1:15" s="298" customFormat="1" ht="61.5" hidden="1" x14ac:dyDescent="0.5">
      <c r="A39" s="297">
        <v>37</v>
      </c>
      <c r="B39" s="297" t="s">
        <v>161</v>
      </c>
      <c r="C39" s="297" t="s">
        <v>162</v>
      </c>
      <c r="D39" s="297" t="s">
        <v>543</v>
      </c>
      <c r="E39" s="297" t="e">
        <f>#REF!+#REF!+#REF!+#REF!</f>
        <v>#REF!</v>
      </c>
      <c r="F39" s="296">
        <v>2</v>
      </c>
      <c r="G39" s="296"/>
      <c r="H39" s="296"/>
      <c r="I39" s="296"/>
      <c r="L39" s="298" t="e">
        <f>OR(#REF!&gt;0,#REF!&gt;0,#REF!&gt;0)</f>
        <v>#REF!</v>
      </c>
      <c r="O39" s="298">
        <v>0</v>
      </c>
    </row>
    <row r="40" spans="1:15" s="298" customFormat="1" ht="61.5" hidden="1" x14ac:dyDescent="0.5">
      <c r="A40" s="297">
        <v>38</v>
      </c>
      <c r="B40" s="297" t="s">
        <v>169</v>
      </c>
      <c r="C40" s="297" t="s">
        <v>170</v>
      </c>
      <c r="D40" s="297" t="s">
        <v>571</v>
      </c>
      <c r="E40" s="297" t="e">
        <f>#REF!+#REF!+#REF!+#REF!</f>
        <v>#REF!</v>
      </c>
      <c r="F40" s="296">
        <v>1</v>
      </c>
      <c r="G40" s="296"/>
      <c r="H40" s="296"/>
      <c r="I40" s="296"/>
      <c r="L40" s="298" t="e">
        <f>OR(#REF!&gt;0,#REF!&gt;0,#REF!&gt;0)</f>
        <v>#REF!</v>
      </c>
      <c r="M40" s="298" t="s">
        <v>569</v>
      </c>
      <c r="O40" s="299">
        <v>9</v>
      </c>
    </row>
    <row r="41" spans="1:15" s="298" customFormat="1" ht="61.5" hidden="1" x14ac:dyDescent="0.5">
      <c r="A41" s="297">
        <v>39</v>
      </c>
      <c r="B41" s="297" t="s">
        <v>171</v>
      </c>
      <c r="C41" s="297" t="s">
        <v>172</v>
      </c>
      <c r="D41" s="297" t="s">
        <v>571</v>
      </c>
      <c r="E41" s="297" t="e">
        <f>#REF!+#REF!+#REF!+#REF!</f>
        <v>#REF!</v>
      </c>
      <c r="F41" s="296">
        <v>2</v>
      </c>
      <c r="G41" s="296"/>
      <c r="H41" s="296"/>
      <c r="I41" s="296"/>
      <c r="L41" s="298" t="e">
        <f>OR(#REF!&gt;0,#REF!&gt;0,#REF!&gt;0)</f>
        <v>#REF!</v>
      </c>
      <c r="O41" s="299">
        <v>9</v>
      </c>
    </row>
    <row r="42" spans="1:15" s="298" customFormat="1" ht="61.5" hidden="1" x14ac:dyDescent="0.5">
      <c r="A42" s="297">
        <v>40</v>
      </c>
      <c r="B42" s="297" t="s">
        <v>175</v>
      </c>
      <c r="C42" s="297" t="s">
        <v>176</v>
      </c>
      <c r="D42" s="297" t="s">
        <v>571</v>
      </c>
      <c r="E42" s="297" t="e">
        <f>#REF!+#REF!+#REF!+#REF!</f>
        <v>#REF!</v>
      </c>
      <c r="F42" s="296">
        <v>1</v>
      </c>
      <c r="G42" s="296"/>
      <c r="H42" s="296"/>
      <c r="I42" s="296"/>
      <c r="L42" s="298" t="e">
        <f>OR(#REF!&gt;0,#REF!&gt;0,#REF!&gt;0)</f>
        <v>#REF!</v>
      </c>
      <c r="O42" s="298">
        <v>0</v>
      </c>
    </row>
    <row r="43" spans="1:15" s="298" customFormat="1" ht="61.5" hidden="1" x14ac:dyDescent="0.5">
      <c r="A43" s="297">
        <v>41</v>
      </c>
      <c r="B43" s="297" t="s">
        <v>179</v>
      </c>
      <c r="C43" s="297" t="s">
        <v>180</v>
      </c>
      <c r="D43" s="297" t="s">
        <v>571</v>
      </c>
      <c r="E43" s="297" t="e">
        <f>#REF!+#REF!+#REF!+#REF!</f>
        <v>#REF!</v>
      </c>
      <c r="F43" s="296">
        <v>2</v>
      </c>
      <c r="G43" s="296"/>
      <c r="H43" s="296"/>
      <c r="I43" s="296"/>
      <c r="L43" s="298" t="e">
        <f>OR(#REF!&gt;0,#REF!&gt;0,#REF!&gt;0)</f>
        <v>#REF!</v>
      </c>
      <c r="O43" s="300" t="s">
        <v>701</v>
      </c>
    </row>
    <row r="44" spans="1:15" s="298" customFormat="1" ht="61.5" hidden="1" x14ac:dyDescent="0.5">
      <c r="A44" s="297">
        <v>42</v>
      </c>
      <c r="B44" s="297" t="s">
        <v>181</v>
      </c>
      <c r="C44" s="297" t="s">
        <v>182</v>
      </c>
      <c r="D44" s="297" t="s">
        <v>571</v>
      </c>
      <c r="E44" s="297" t="e">
        <f>#REF!+#REF!+#REF!+#REF!</f>
        <v>#REF!</v>
      </c>
      <c r="F44" s="296">
        <v>2.5</v>
      </c>
      <c r="G44" s="296"/>
      <c r="H44" s="296"/>
      <c r="I44" s="296"/>
      <c r="L44" s="298" t="e">
        <f>OR(#REF!&gt;0,#REF!&gt;0,#REF!&gt;0)</f>
        <v>#REF!</v>
      </c>
      <c r="O44" s="300" t="s">
        <v>701</v>
      </c>
    </row>
    <row r="45" spans="1:15" s="298" customFormat="1" ht="61.5" hidden="1" x14ac:dyDescent="0.5">
      <c r="A45" s="297">
        <v>43</v>
      </c>
      <c r="B45" s="297" t="s">
        <v>183</v>
      </c>
      <c r="C45" s="297" t="s">
        <v>184</v>
      </c>
      <c r="D45" s="297" t="s">
        <v>571</v>
      </c>
      <c r="E45" s="297" t="e">
        <f>#REF!+#REF!+#REF!+#REF!</f>
        <v>#REF!</v>
      </c>
      <c r="F45" s="296">
        <v>3</v>
      </c>
      <c r="G45" s="296"/>
      <c r="H45" s="296"/>
      <c r="I45" s="296"/>
      <c r="L45" s="298" t="e">
        <f>OR(#REF!&gt;0,#REF!&gt;0,#REF!&gt;0)</f>
        <v>#REF!</v>
      </c>
      <c r="O45" s="300" t="s">
        <v>698</v>
      </c>
    </row>
    <row r="46" spans="1:15" s="298" customFormat="1" ht="61.5" hidden="1" x14ac:dyDescent="0.5">
      <c r="A46" s="297">
        <v>44</v>
      </c>
      <c r="B46" s="297" t="s">
        <v>185</v>
      </c>
      <c r="C46" s="297" t="s">
        <v>186</v>
      </c>
      <c r="D46" s="297" t="s">
        <v>571</v>
      </c>
      <c r="E46" s="297" t="e">
        <f>#REF!+#REF!+#REF!+#REF!</f>
        <v>#REF!</v>
      </c>
      <c r="F46" s="296">
        <v>3</v>
      </c>
      <c r="G46" s="296"/>
      <c r="H46" s="296"/>
      <c r="I46" s="296"/>
      <c r="L46" s="298" t="e">
        <f>OR(#REF!&gt;0,#REF!&gt;0,#REF!&gt;0)</f>
        <v>#REF!</v>
      </c>
      <c r="O46" s="300" t="s">
        <v>698</v>
      </c>
    </row>
    <row r="47" spans="1:15" s="298" customFormat="1" ht="61.5" hidden="1" x14ac:dyDescent="0.5">
      <c r="A47" s="297">
        <v>45</v>
      </c>
      <c r="B47" s="297" t="s">
        <v>187</v>
      </c>
      <c r="C47" s="297" t="s">
        <v>188</v>
      </c>
      <c r="D47" s="297" t="s">
        <v>571</v>
      </c>
      <c r="E47" s="297" t="e">
        <f>#REF!+#REF!+#REF!+#REF!</f>
        <v>#REF!</v>
      </c>
      <c r="F47" s="296">
        <v>2</v>
      </c>
      <c r="G47" s="296"/>
      <c r="H47" s="296"/>
      <c r="I47" s="296"/>
      <c r="L47" s="298" t="e">
        <f>OR(#REF!&gt;0,#REF!&gt;0,#REF!&gt;0)</f>
        <v>#REF!</v>
      </c>
      <c r="O47" s="300" t="s">
        <v>792</v>
      </c>
    </row>
    <row r="48" spans="1:15" s="298" customFormat="1" ht="92.25" hidden="1" x14ac:dyDescent="0.5">
      <c r="A48" s="297">
        <v>46</v>
      </c>
      <c r="B48" s="297" t="s">
        <v>193</v>
      </c>
      <c r="C48" s="297" t="s">
        <v>194</v>
      </c>
      <c r="D48" s="297" t="s">
        <v>539</v>
      </c>
      <c r="E48" s="297" t="e">
        <f>#REF!+#REF!+#REF!+#REF!</f>
        <v>#REF!</v>
      </c>
      <c r="F48" s="296">
        <v>3.5</v>
      </c>
      <c r="G48" s="296"/>
      <c r="H48" s="296"/>
      <c r="I48" s="296"/>
      <c r="L48" s="298" t="e">
        <f>OR(#REF!&gt;0,#REF!&gt;0,#REF!&gt;0)</f>
        <v>#REF!</v>
      </c>
      <c r="O48" s="300" t="s">
        <v>702</v>
      </c>
    </row>
    <row r="49" spans="1:33" s="298" customFormat="1" ht="61.5" hidden="1" x14ac:dyDescent="0.5">
      <c r="A49" s="297">
        <v>47</v>
      </c>
      <c r="B49" s="297" t="s">
        <v>197</v>
      </c>
      <c r="C49" s="297" t="s">
        <v>198</v>
      </c>
      <c r="D49" s="297" t="s">
        <v>547</v>
      </c>
      <c r="E49" s="297" t="e">
        <f>#REF!+#REF!+#REF!+#REF!</f>
        <v>#REF!</v>
      </c>
      <c r="F49" s="296">
        <v>1.2</v>
      </c>
      <c r="G49" s="296"/>
      <c r="H49" s="296"/>
      <c r="I49" s="296"/>
      <c r="L49" s="298" t="e">
        <f>OR(#REF!&gt;0,#REF!&gt;0,#REF!&gt;0)</f>
        <v>#REF!</v>
      </c>
      <c r="O49" s="300" t="s">
        <v>790</v>
      </c>
    </row>
    <row r="50" spans="1:33" s="298" customFormat="1" ht="61.5" hidden="1" x14ac:dyDescent="0.5">
      <c r="A50" s="297">
        <v>48</v>
      </c>
      <c r="B50" s="297" t="s">
        <v>784</v>
      </c>
      <c r="C50" s="301" t="s">
        <v>783</v>
      </c>
      <c r="D50" s="302" t="s">
        <v>542</v>
      </c>
      <c r="E50" s="297" t="e">
        <f>#REF!+#REF!+#REF!+#REF!</f>
        <v>#REF!</v>
      </c>
      <c r="F50" s="296">
        <v>1.901</v>
      </c>
      <c r="G50" s="296"/>
      <c r="H50" s="296"/>
      <c r="I50" s="296"/>
      <c r="L50" s="303" t="e">
        <f>OR(#REF!&gt;0,#REF!&gt;0,#REF!&gt;0)</f>
        <v>#REF!</v>
      </c>
      <c r="O50" s="299" t="s">
        <v>791</v>
      </c>
    </row>
    <row r="51" spans="1:33" s="234" customFormat="1" ht="61.5" x14ac:dyDescent="0.35">
      <c r="A51" s="297">
        <v>49</v>
      </c>
      <c r="B51" s="302" t="s">
        <v>823</v>
      </c>
      <c r="C51" s="297" t="s">
        <v>824</v>
      </c>
      <c r="D51" s="297" t="s">
        <v>537</v>
      </c>
      <c r="E51" s="304">
        <v>3.5</v>
      </c>
      <c r="F51" s="296">
        <v>3.5</v>
      </c>
      <c r="G51" s="296"/>
      <c r="H51" s="296"/>
      <c r="I51" s="296"/>
      <c r="L51" s="234" t="e">
        <f>OR(#REF!&gt;0,#REF!&gt;0,#REF!&gt;0)</f>
        <v>#REF!</v>
      </c>
      <c r="S51" s="235"/>
      <c r="T51" s="235"/>
    </row>
    <row r="52" spans="1:33" s="234" customFormat="1" ht="61.5" hidden="1" x14ac:dyDescent="0.35">
      <c r="A52" s="297">
        <v>50</v>
      </c>
      <c r="B52" s="297" t="s">
        <v>177</v>
      </c>
      <c r="C52" s="297" t="s">
        <v>810</v>
      </c>
      <c r="D52" s="297" t="s">
        <v>571</v>
      </c>
      <c r="E52" s="297" t="e">
        <f>#REF!+#REF!+#REF!+#REF!</f>
        <v>#REF!</v>
      </c>
      <c r="F52" s="296"/>
      <c r="G52" s="296"/>
      <c r="H52" s="296"/>
      <c r="I52" s="296">
        <v>4</v>
      </c>
      <c r="J52" s="232"/>
      <c r="L52" s="234" t="e">
        <f>OR(#REF!&gt;0,#REF!&gt;0,#REF!&gt;0)</f>
        <v>#REF!</v>
      </c>
      <c r="S52" s="235"/>
      <c r="T52" s="235"/>
    </row>
    <row r="53" spans="1:33" s="234" customFormat="1" ht="61.5" hidden="1" x14ac:dyDescent="0.35">
      <c r="A53" s="297">
        <v>51</v>
      </c>
      <c r="B53" s="297" t="s">
        <v>425</v>
      </c>
      <c r="C53" s="297" t="s">
        <v>426</v>
      </c>
      <c r="D53" s="297" t="s">
        <v>548</v>
      </c>
      <c r="E53" s="297" t="e">
        <f>#REF!+#REF!+#REF!+#REF!</f>
        <v>#REF!</v>
      </c>
      <c r="F53" s="296">
        <v>7.9</v>
      </c>
      <c r="G53" s="296"/>
      <c r="H53" s="296">
        <v>1.6</v>
      </c>
      <c r="I53" s="296"/>
      <c r="J53" s="232"/>
      <c r="L53" s="234" t="e">
        <f>OR(#REF!&gt;0,#REF!&gt;0,#REF!&gt;0)</f>
        <v>#REF!</v>
      </c>
      <c r="S53" s="235"/>
      <c r="T53" s="235"/>
    </row>
    <row r="54" spans="1:33" s="234" customFormat="1" ht="61.5" hidden="1" x14ac:dyDescent="0.35">
      <c r="A54" s="297">
        <v>52</v>
      </c>
      <c r="B54" s="297" t="s">
        <v>397</v>
      </c>
      <c r="C54" s="297" t="s">
        <v>398</v>
      </c>
      <c r="D54" s="297" t="s">
        <v>547</v>
      </c>
      <c r="E54" s="297" t="e">
        <f>#REF!+#REF!+#REF!+#REF!</f>
        <v>#REF!</v>
      </c>
      <c r="F54" s="296">
        <v>3</v>
      </c>
      <c r="G54" s="296">
        <v>0</v>
      </c>
      <c r="H54" s="296">
        <v>2.1</v>
      </c>
      <c r="I54" s="296"/>
      <c r="J54" s="232"/>
      <c r="L54" s="234" t="e">
        <f>OR(#REF!&gt;0,#REF!&gt;0,#REF!&gt;0)</f>
        <v>#REF!</v>
      </c>
      <c r="S54" s="235"/>
      <c r="T54" s="235"/>
    </row>
    <row r="55" spans="1:33" s="234" customFormat="1" ht="31.5" hidden="1" x14ac:dyDescent="0.35">
      <c r="A55" s="297">
        <v>53</v>
      </c>
      <c r="B55" s="297"/>
      <c r="C55" s="297"/>
      <c r="D55" s="297"/>
      <c r="E55" s="297"/>
      <c r="F55" s="296"/>
      <c r="G55" s="296"/>
      <c r="H55" s="296"/>
      <c r="I55" s="296"/>
      <c r="J55" s="232"/>
      <c r="K55" s="233"/>
      <c r="L55" s="234" t="e">
        <f>OR(#REF!&gt;0,#REF!&gt;0,#REF!&gt;0)</f>
        <v>#REF!</v>
      </c>
      <c r="S55" s="235"/>
      <c r="T55" s="235"/>
    </row>
    <row r="56" spans="1:33" s="234" customFormat="1" ht="92.25" hidden="1" x14ac:dyDescent="0.35">
      <c r="A56" s="297">
        <v>54</v>
      </c>
      <c r="B56" s="297" t="s">
        <v>233</v>
      </c>
      <c r="C56" s="297" t="s">
        <v>234</v>
      </c>
      <c r="D56" s="297" t="s">
        <v>539</v>
      </c>
      <c r="E56" s="297" t="e">
        <f>#REF!+#REF!+#REF!+#REF!</f>
        <v>#REF!</v>
      </c>
      <c r="F56" s="296"/>
      <c r="G56" s="305"/>
      <c r="H56" s="305">
        <v>3.0859999999999999</v>
      </c>
      <c r="I56" s="296"/>
      <c r="J56" s="232"/>
      <c r="L56" s="234" t="e">
        <f>OR(#REF!&gt;0,#REF!&gt;0,#REF!&gt;0)</f>
        <v>#REF!</v>
      </c>
      <c r="S56" s="235"/>
      <c r="T56" s="235"/>
    </row>
    <row r="57" spans="1:33" s="234" customFormat="1" ht="61.5" x14ac:dyDescent="0.35">
      <c r="A57" s="297">
        <v>55</v>
      </c>
      <c r="B57" s="297" t="s">
        <v>225</v>
      </c>
      <c r="C57" s="297" t="s">
        <v>226</v>
      </c>
      <c r="D57" s="297" t="s">
        <v>537</v>
      </c>
      <c r="E57" s="297" t="e">
        <f>#REF!+#REF!+#REF!+#REF!</f>
        <v>#REF!</v>
      </c>
      <c r="F57" s="296">
        <v>2.9870000000000001</v>
      </c>
      <c r="G57" s="296">
        <v>0</v>
      </c>
      <c r="H57" s="296">
        <v>2.0129999999999999</v>
      </c>
      <c r="I57" s="296"/>
      <c r="J57" s="232"/>
      <c r="L57" s="234" t="e">
        <f>OR(#REF!&gt;0,#REF!&gt;0,#REF!&gt;0)</f>
        <v>#REF!</v>
      </c>
      <c r="S57" s="235"/>
      <c r="T57" s="235"/>
    </row>
    <row r="58" spans="1:33" s="234" customFormat="1" ht="31.5" hidden="1" x14ac:dyDescent="0.35">
      <c r="A58" s="297">
        <v>56</v>
      </c>
      <c r="B58" s="297"/>
      <c r="C58" s="297"/>
      <c r="D58" s="297"/>
      <c r="E58" s="297"/>
      <c r="F58" s="296"/>
      <c r="G58" s="296"/>
      <c r="H58" s="296"/>
      <c r="I58" s="296"/>
      <c r="J58" s="232"/>
      <c r="K58" s="233"/>
      <c r="L58" s="234" t="e">
        <f>OR(#REF!&gt;0,#REF!&gt;0,#REF!&gt;0)</f>
        <v>#REF!</v>
      </c>
      <c r="S58" s="235"/>
      <c r="T58" s="235"/>
    </row>
    <row r="59" spans="1:33" s="234" customFormat="1" ht="61.5" hidden="1" x14ac:dyDescent="0.35">
      <c r="A59" s="297">
        <v>57</v>
      </c>
      <c r="B59" s="297" t="s">
        <v>191</v>
      </c>
      <c r="C59" s="297" t="s">
        <v>192</v>
      </c>
      <c r="D59" s="297" t="s">
        <v>548</v>
      </c>
      <c r="E59" s="297" t="e">
        <f>#REF!+#REF!+#REF!+#REF!</f>
        <v>#REF!</v>
      </c>
      <c r="F59" s="296"/>
      <c r="G59" s="296"/>
      <c r="H59" s="296">
        <v>1.54</v>
      </c>
      <c r="I59" s="296"/>
      <c r="J59" s="232"/>
      <c r="L59" s="234" t="e">
        <f>OR(#REF!&gt;0,#REF!&gt;0,#REF!&gt;0)</f>
        <v>#REF!</v>
      </c>
      <c r="S59" s="235"/>
      <c r="T59" s="235"/>
    </row>
    <row r="60" spans="1:33" s="234" customFormat="1" ht="61.5" hidden="1" x14ac:dyDescent="0.35">
      <c r="A60" s="297">
        <v>58</v>
      </c>
      <c r="B60" s="297" t="s">
        <v>123</v>
      </c>
      <c r="C60" s="297" t="s">
        <v>124</v>
      </c>
      <c r="D60" s="297" t="s">
        <v>545</v>
      </c>
      <c r="E60" s="297">
        <v>2.1</v>
      </c>
      <c r="F60" s="296"/>
      <c r="G60" s="296"/>
      <c r="H60" s="296">
        <v>2.1</v>
      </c>
      <c r="I60" s="296"/>
      <c r="J60" s="232"/>
      <c r="L60" s="234" t="e">
        <f>OR(#REF!&gt;0,#REF!&gt;0,#REF!&gt;0)</f>
        <v>#REF!</v>
      </c>
      <c r="S60" s="235"/>
      <c r="T60" s="235"/>
    </row>
    <row r="61" spans="1:33" s="234" customFormat="1" ht="61.5" hidden="1" x14ac:dyDescent="0.35">
      <c r="A61" s="297">
        <v>59</v>
      </c>
      <c r="B61" s="297" t="s">
        <v>471</v>
      </c>
      <c r="C61" s="297" t="s">
        <v>472</v>
      </c>
      <c r="D61" s="297" t="s">
        <v>551</v>
      </c>
      <c r="E61" s="297">
        <f>Таблица191011[[#This Row],[Грунт]]+Таблица191011[[#This Row],[Щебень]]+Таблица191011[[#This Row],[Асфальт]]+Таблица191011[[#This Row],[Бетон]]</f>
        <v>0.82</v>
      </c>
      <c r="F61" s="296"/>
      <c r="G61" s="296"/>
      <c r="H61" s="296">
        <v>0.82</v>
      </c>
      <c r="I61" s="296"/>
      <c r="J61" s="232"/>
      <c r="K61" s="234">
        <v>1</v>
      </c>
      <c r="L61" s="234" t="e">
        <f>OR(#REF!&gt;0,#REF!&gt;0,#REF!&gt;0)</f>
        <v>#REF!</v>
      </c>
      <c r="N61" s="234" t="b">
        <f>OR(Таблица191011[[#This Row],[Щебень]]&gt;0,Таблица191011[[#This Row],[Асфальт]]&gt;0,Таблица191011[[#This Row],[Бетон]]&gt;0)</f>
        <v>1</v>
      </c>
      <c r="O61" s="234">
        <v>1</v>
      </c>
      <c r="Q61" s="234">
        <v>245</v>
      </c>
      <c r="AG61" s="234">
        <v>141</v>
      </c>
    </row>
    <row r="62" spans="1:33" s="234" customFormat="1" ht="61.5" hidden="1" x14ac:dyDescent="0.35">
      <c r="A62" s="297">
        <v>60</v>
      </c>
      <c r="B62" s="297" t="s">
        <v>473</v>
      </c>
      <c r="C62" s="297" t="s">
        <v>474</v>
      </c>
      <c r="D62" s="297" t="s">
        <v>552</v>
      </c>
      <c r="E62" s="297">
        <f>Таблица191011[[#This Row],[Грунт]]+Таблица191011[[#This Row],[Щебень]]+Таблица191011[[#This Row],[Асфальт]]+Таблица191011[[#This Row],[Бетон]]</f>
        <v>1.3</v>
      </c>
      <c r="F62" s="296"/>
      <c r="G62" s="296"/>
      <c r="H62" s="296">
        <v>1.3</v>
      </c>
      <c r="I62" s="296"/>
      <c r="J62" s="232"/>
      <c r="K62" s="234">
        <v>1</v>
      </c>
      <c r="L62" s="234" t="e">
        <f>OR(#REF!&gt;0,#REF!&gt;0,#REF!&gt;0)</f>
        <v>#REF!</v>
      </c>
      <c r="N62" s="234" t="b">
        <f>OR(Таблица191011[[#This Row],[Щебень]]&gt;0,Таблица191011[[#This Row],[Асфальт]]&gt;0,Таблица191011[[#This Row],[Бетон]]&gt;0)</f>
        <v>1</v>
      </c>
      <c r="O62" s="234">
        <v>1</v>
      </c>
      <c r="Q62" s="234">
        <v>246</v>
      </c>
      <c r="AG62" s="234">
        <v>142</v>
      </c>
    </row>
    <row r="63" spans="1:33" s="234" customFormat="1" ht="61.5" hidden="1" x14ac:dyDescent="0.35">
      <c r="A63" s="297">
        <v>61</v>
      </c>
      <c r="B63" s="297" t="s">
        <v>475</v>
      </c>
      <c r="C63" s="297" t="s">
        <v>476</v>
      </c>
      <c r="D63" s="297" t="s">
        <v>552</v>
      </c>
      <c r="E63" s="297">
        <f>Таблица191011[[#This Row],[Грунт]]+Таблица191011[[#This Row],[Щебень]]+Таблица191011[[#This Row],[Асфальт]]+Таблица191011[[#This Row],[Бетон]]</f>
        <v>0.8</v>
      </c>
      <c r="F63" s="296"/>
      <c r="G63" s="296"/>
      <c r="H63" s="296">
        <v>0.8</v>
      </c>
      <c r="I63" s="296"/>
      <c r="J63" s="232"/>
      <c r="K63" s="234">
        <v>1</v>
      </c>
      <c r="L63" s="234" t="e">
        <f>OR(#REF!&gt;0,#REF!&gt;0,#REF!&gt;0)</f>
        <v>#REF!</v>
      </c>
      <c r="N63" s="234" t="b">
        <f>OR(Таблица191011[[#This Row],[Щебень]]&gt;0,Таблица191011[[#This Row],[Асфальт]]&gt;0,Таблица191011[[#This Row],[Бетон]]&gt;0)</f>
        <v>1</v>
      </c>
      <c r="O63" s="234">
        <v>1</v>
      </c>
      <c r="Q63" s="234">
        <v>247</v>
      </c>
      <c r="AG63" s="234">
        <v>143</v>
      </c>
    </row>
    <row r="64" spans="1:33" s="234" customFormat="1" ht="61.5" hidden="1" x14ac:dyDescent="0.35">
      <c r="A64" s="297">
        <v>62</v>
      </c>
      <c r="B64" s="297" t="s">
        <v>477</v>
      </c>
      <c r="C64" s="297" t="s">
        <v>478</v>
      </c>
      <c r="D64" s="297" t="s">
        <v>552</v>
      </c>
      <c r="E64" s="297">
        <f>Таблица191011[[#This Row],[Грунт]]+Таблица191011[[#This Row],[Щебень]]+Таблица191011[[#This Row],[Асфальт]]+Таблица191011[[#This Row],[Бетон]]</f>
        <v>1.6</v>
      </c>
      <c r="F64" s="296"/>
      <c r="G64" s="296"/>
      <c r="H64" s="296">
        <v>1.6</v>
      </c>
      <c r="I64" s="296"/>
      <c r="J64" s="232"/>
      <c r="K64" s="233">
        <v>1</v>
      </c>
      <c r="L64" s="234" t="e">
        <f>OR(#REF!&gt;0,#REF!&gt;0,#REF!&gt;0)</f>
        <v>#REF!</v>
      </c>
      <c r="N64" s="234" t="b">
        <f>OR(Таблица191011[[#This Row],[Щебень]]&gt;0,Таблица191011[[#This Row],[Асфальт]]&gt;0,Таблица191011[[#This Row],[Бетон]]&gt;0)</f>
        <v>1</v>
      </c>
      <c r="O64" s="234">
        <v>1</v>
      </c>
      <c r="Q64" s="234">
        <v>248</v>
      </c>
      <c r="AG64" s="234">
        <v>144</v>
      </c>
    </row>
    <row r="65" spans="1:33" s="234" customFormat="1" ht="61.5" hidden="1" x14ac:dyDescent="0.35">
      <c r="A65" s="297">
        <v>63</v>
      </c>
      <c r="B65" s="297" t="s">
        <v>479</v>
      </c>
      <c r="C65" s="297" t="s">
        <v>480</v>
      </c>
      <c r="D65" s="297" t="s">
        <v>552</v>
      </c>
      <c r="E65" s="297">
        <f>Таблица191011[[#This Row],[Грунт]]+Таблица191011[[#This Row],[Щебень]]+Таблица191011[[#This Row],[Асфальт]]+Таблица191011[[#This Row],[Бетон]]</f>
        <v>1.4</v>
      </c>
      <c r="F65" s="296"/>
      <c r="G65" s="296"/>
      <c r="H65" s="296">
        <v>1.4</v>
      </c>
      <c r="I65" s="296"/>
      <c r="J65" s="232"/>
      <c r="K65" s="234">
        <v>1</v>
      </c>
      <c r="L65" s="234" t="e">
        <f>OR(#REF!&gt;0,#REF!&gt;0,#REF!&gt;0)</f>
        <v>#REF!</v>
      </c>
      <c r="N65" s="234" t="b">
        <f>OR(Таблица191011[[#This Row],[Щебень]]&gt;0,Таблица191011[[#This Row],[Асфальт]]&gt;0,Таблица191011[[#This Row],[Бетон]]&gt;0)</f>
        <v>1</v>
      </c>
      <c r="O65" s="234">
        <v>1</v>
      </c>
      <c r="Q65" s="234">
        <v>249</v>
      </c>
      <c r="AG65" s="234">
        <v>145</v>
      </c>
    </row>
    <row r="66" spans="1:33" s="234" customFormat="1" ht="61.5" hidden="1" x14ac:dyDescent="0.35">
      <c r="A66" s="297">
        <v>64</v>
      </c>
      <c r="B66" s="297" t="s">
        <v>495</v>
      </c>
      <c r="C66" s="297" t="s">
        <v>496</v>
      </c>
      <c r="D66" s="297" t="s">
        <v>552</v>
      </c>
      <c r="E66" s="297">
        <f>Таблица191011[[#This Row],[Грунт]]+Таблица191011[[#This Row],[Щебень]]+Таблица191011[[#This Row],[Асфальт]]+Таблица191011[[#This Row],[Бетон]]</f>
        <v>0.77</v>
      </c>
      <c r="F66" s="296"/>
      <c r="G66" s="296"/>
      <c r="H66" s="296">
        <v>0.77</v>
      </c>
      <c r="I66" s="296"/>
      <c r="J66" s="232"/>
      <c r="K66" s="234">
        <v>1</v>
      </c>
      <c r="L66" s="234" t="e">
        <f>OR(#REF!&gt;0,#REF!&gt;0,#REF!&gt;0)</f>
        <v>#REF!</v>
      </c>
      <c r="N66" s="234" t="b">
        <f>OR(Таблица191011[[#This Row],[Щебень]]&gt;0,Таблица191011[[#This Row],[Асфальт]]&gt;0,Таблица191011[[#This Row],[Бетон]]&gt;0)</f>
        <v>1</v>
      </c>
      <c r="O66" s="234">
        <v>1</v>
      </c>
      <c r="Q66" s="234">
        <v>257</v>
      </c>
      <c r="AG66" s="234">
        <v>153</v>
      </c>
    </row>
    <row r="67" spans="1:33" s="234" customFormat="1" ht="61.5" hidden="1" x14ac:dyDescent="0.35">
      <c r="A67" s="297">
        <v>65</v>
      </c>
      <c r="B67" s="297" t="s">
        <v>497</v>
      </c>
      <c r="C67" s="297" t="s">
        <v>498</v>
      </c>
      <c r="D67" s="297" t="s">
        <v>552</v>
      </c>
      <c r="E67" s="297">
        <f>Таблица191011[[#This Row],[Грунт]]+Таблица191011[[#This Row],[Щебень]]+Таблица191011[[#This Row],[Асфальт]]+Таблица191011[[#This Row],[Бетон]]</f>
        <v>0.6</v>
      </c>
      <c r="F67" s="296"/>
      <c r="G67" s="296"/>
      <c r="H67" s="296">
        <v>0.6</v>
      </c>
      <c r="I67" s="296"/>
      <c r="J67" s="232"/>
      <c r="K67" s="234">
        <v>1</v>
      </c>
      <c r="L67" s="234" t="e">
        <f>OR(#REF!&gt;0,#REF!&gt;0,#REF!&gt;0)</f>
        <v>#REF!</v>
      </c>
      <c r="N67" s="234" t="b">
        <f>OR(Таблица191011[[#This Row],[Щебень]]&gt;0,Таблица191011[[#This Row],[Асфальт]]&gt;0,Таблица191011[[#This Row],[Бетон]]&gt;0)</f>
        <v>1</v>
      </c>
      <c r="O67" s="234">
        <v>1</v>
      </c>
      <c r="P67" s="234">
        <f>0.6-Таблица191011[[#This Row],[Протяженность(км)]]</f>
        <v>0</v>
      </c>
      <c r="Q67" s="234">
        <v>258</v>
      </c>
      <c r="AG67" s="234">
        <v>154</v>
      </c>
    </row>
    <row r="68" spans="1:33" s="234" customFormat="1" ht="61.5" hidden="1" x14ac:dyDescent="0.35">
      <c r="A68" s="297">
        <v>66</v>
      </c>
      <c r="B68" s="297" t="s">
        <v>499</v>
      </c>
      <c r="C68" s="297" t="s">
        <v>500</v>
      </c>
      <c r="D68" s="297" t="s">
        <v>552</v>
      </c>
      <c r="E68" s="297">
        <f>Таблица191011[[#This Row],[Грунт]]+Таблица191011[[#This Row],[Щебень]]+Таблица191011[[#This Row],[Асфальт]]+Таблица191011[[#This Row],[Бетон]]</f>
        <v>0.499</v>
      </c>
      <c r="F68" s="296"/>
      <c r="G68" s="296">
        <v>0</v>
      </c>
      <c r="H68" s="296">
        <v>0.499</v>
      </c>
      <c r="I68" s="296"/>
      <c r="J68" s="232"/>
      <c r="K68" s="234">
        <v>1</v>
      </c>
      <c r="L68" s="234" t="e">
        <f>OR(#REF!&gt;0,#REF!&gt;0,#REF!&gt;0)</f>
        <v>#REF!</v>
      </c>
      <c r="N68" s="234" t="b">
        <f>OR(Таблица191011[[#This Row],[Щебень]]&gt;0,Таблица191011[[#This Row],[Асфальт]]&gt;0,Таблица191011[[#This Row],[Бетон]]&gt;0)</f>
        <v>1</v>
      </c>
      <c r="O68" s="234">
        <v>1</v>
      </c>
      <c r="Q68" s="234">
        <v>259</v>
      </c>
      <c r="AG68" s="234">
        <v>155</v>
      </c>
    </row>
    <row r="69" spans="1:33" s="234" customFormat="1" ht="61.5" hidden="1" x14ac:dyDescent="0.35">
      <c r="A69" s="297">
        <v>67</v>
      </c>
      <c r="B69" s="297" t="s">
        <v>501</v>
      </c>
      <c r="C69" s="297" t="s">
        <v>502</v>
      </c>
      <c r="D69" s="297" t="s">
        <v>552</v>
      </c>
      <c r="E69" s="297">
        <f>Таблица191011[[#This Row],[Грунт]]+Таблица191011[[#This Row],[Щебень]]+Таблица191011[[#This Row],[Асфальт]]+Таблица191011[[#This Row],[Бетон]]</f>
        <v>0.66700000000000004</v>
      </c>
      <c r="F69" s="296"/>
      <c r="G69" s="296">
        <v>0</v>
      </c>
      <c r="H69" s="296">
        <v>0.66700000000000004</v>
      </c>
      <c r="I69" s="296"/>
      <c r="J69" s="232"/>
      <c r="K69" s="234">
        <v>1</v>
      </c>
      <c r="L69" s="234" t="e">
        <f>OR(#REF!&gt;0,#REF!&gt;0,#REF!&gt;0)</f>
        <v>#REF!</v>
      </c>
      <c r="N69" s="234" t="b">
        <f>OR(Таблица191011[[#This Row],[Щебень]]&gt;0,Таблица191011[[#This Row],[Асфальт]]&gt;0,Таблица191011[[#This Row],[Бетон]]&gt;0)</f>
        <v>1</v>
      </c>
      <c r="O69" s="234">
        <v>1</v>
      </c>
      <c r="Q69" s="234">
        <v>260</v>
      </c>
      <c r="AG69" s="234">
        <v>156</v>
      </c>
    </row>
    <row r="70" spans="1:33" s="234" customFormat="1" ht="61.5" hidden="1" x14ac:dyDescent="0.35">
      <c r="A70" s="297">
        <v>68</v>
      </c>
      <c r="B70" s="297" t="s">
        <v>507</v>
      </c>
      <c r="C70" s="297" t="s">
        <v>508</v>
      </c>
      <c r="D70" s="297" t="s">
        <v>552</v>
      </c>
      <c r="E70" s="297">
        <f>Таблица191011[[#This Row],[Грунт]]+Таблица191011[[#This Row],[Щебень]]+Таблица191011[[#This Row],[Асфальт]]+Таблица191011[[#This Row],[Бетон]]</f>
        <v>0.98599999999999999</v>
      </c>
      <c r="F70" s="296"/>
      <c r="G70" s="305"/>
      <c r="H70" s="296">
        <v>0.98599999999999999</v>
      </c>
      <c r="I70" s="296"/>
      <c r="J70" s="232"/>
      <c r="K70" s="234">
        <v>1</v>
      </c>
      <c r="L70" s="234" t="e">
        <f>OR(#REF!&gt;0,#REF!&gt;0,#REF!&gt;0)</f>
        <v>#REF!</v>
      </c>
      <c r="N70" s="234" t="b">
        <f>OR(Таблица191011[[#This Row],[Щебень]]&gt;0,Таблица191011[[#This Row],[Асфальт]]&gt;0,Таблица191011[[#This Row],[Бетон]]&gt;0)</f>
        <v>1</v>
      </c>
      <c r="O70" s="234">
        <v>1</v>
      </c>
      <c r="Q70" s="234">
        <v>263</v>
      </c>
      <c r="AG70" s="234">
        <v>159</v>
      </c>
    </row>
    <row r="71" spans="1:33" x14ac:dyDescent="0.35">
      <c r="A71" s="13" t="s">
        <v>562</v>
      </c>
      <c r="B71" s="13"/>
      <c r="C71" s="13"/>
      <c r="D71" s="13"/>
      <c r="E71" s="120" t="e">
        <f>SUBTOTAL(109,Таблица191011[Протяженность(км)])</f>
        <v>#REF!</v>
      </c>
      <c r="F71" s="120">
        <f>SUBTOTAL(109,Таблица191011[Грунт])</f>
        <v>10.487</v>
      </c>
      <c r="G71" s="120">
        <f>SUBTOTAL(109,Таблица191011[Щебень])</f>
        <v>0</v>
      </c>
      <c r="H71" s="120">
        <f>SUBTOTAL(109,Таблица191011[Асфальт])</f>
        <v>2.0129999999999999</v>
      </c>
      <c r="I71" s="120">
        <f>SUBTOTAL(109,Таблица191011[Бетон])</f>
        <v>0</v>
      </c>
      <c r="J71" s="120">
        <f>SUBTOTAL(109,Таблица191011[Столбец6])</f>
        <v>0</v>
      </c>
      <c r="K71" s="120">
        <f>SUBTOTAL(109,Таблица191011[ПАСПОРТИЗАЦИЯ])</f>
        <v>0</v>
      </c>
      <c r="L71" s="120" t="e">
        <f>SUBTOTAL(109,Таблица191011[МЕЖЕВАНИЕ])</f>
        <v>#REF!</v>
      </c>
      <c r="M71" s="120">
        <f>SUBTOTAL(109,Таблица191011[Столбец5])</f>
        <v>0</v>
      </c>
      <c r="N71" s="120">
        <f>SUBTOTAL(109,Таблица191011[ФИЛЬТР ПО ТВЕРДОМУ])</f>
        <v>0</v>
      </c>
      <c r="O71" s="15">
        <f>SUBTOTAL(109,Таблица191011[Столбец1])</f>
        <v>9</v>
      </c>
      <c r="P71" s="15"/>
      <c r="Q71" s="15"/>
      <c r="R71" s="15"/>
      <c r="S71" s="15"/>
      <c r="T71" s="15"/>
    </row>
  </sheetData>
  <mergeCells count="1">
    <mergeCell ref="E1:I1"/>
  </mergeCells>
  <pageMargins left="0.7" right="0.7" top="0.75" bottom="0.75" header="0.3" footer="0.3"/>
  <pageSetup paperSize="9" scale="57" fitToHeight="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00"/>
  <sheetViews>
    <sheetView view="pageBreakPreview" zoomScale="71" zoomScaleNormal="100" zoomScaleSheetLayoutView="71" workbookViewId="0">
      <pane ySplit="1" topLeftCell="A20" activePane="bottomLeft" state="frozen"/>
      <selection pane="bottomLeft" activeCell="A25" sqref="A25:XFD25"/>
    </sheetView>
  </sheetViews>
  <sheetFormatPr defaultColWidth="26.7109375" defaultRowHeight="23.25" x14ac:dyDescent="0.35"/>
  <cols>
    <col min="1" max="1" width="8.42578125" style="8" customWidth="1"/>
    <col min="2" max="2" width="30.28515625" style="8" customWidth="1"/>
    <col min="3" max="3" width="74.42578125" style="8" customWidth="1"/>
    <col min="4" max="4" width="27.42578125" style="8" customWidth="1"/>
    <col min="5" max="5" width="23.7109375" style="15" customWidth="1"/>
    <col min="6" max="6" width="15.28515625" style="8" customWidth="1"/>
    <col min="7" max="7" width="14.85546875" style="15" customWidth="1"/>
    <col min="8" max="8" width="20" style="8" customWidth="1"/>
    <col min="9" max="9" width="14" style="15" customWidth="1"/>
    <col min="10" max="10" width="14" style="169" customWidth="1"/>
    <col min="11" max="11" width="18.7109375" style="8" customWidth="1"/>
    <col min="12" max="13" width="17.7109375" style="8" customWidth="1"/>
    <col min="14" max="14" width="28.5703125" style="8" customWidth="1"/>
    <col min="15" max="16" width="26.7109375" style="8" customWidth="1"/>
    <col min="17" max="16384" width="26.7109375" style="8"/>
  </cols>
  <sheetData>
    <row r="1" spans="1:20" ht="45" x14ac:dyDescent="0.35">
      <c r="A1" s="6" t="s">
        <v>0</v>
      </c>
      <c r="B1" s="6" t="s">
        <v>1</v>
      </c>
      <c r="C1" s="6" t="s">
        <v>2</v>
      </c>
      <c r="D1" s="6" t="s">
        <v>536</v>
      </c>
      <c r="E1" s="6" t="s">
        <v>3</v>
      </c>
      <c r="F1" s="7" t="s">
        <v>528</v>
      </c>
      <c r="G1" s="7" t="s">
        <v>529</v>
      </c>
      <c r="H1" s="7" t="s">
        <v>527</v>
      </c>
      <c r="I1" s="7" t="s">
        <v>535</v>
      </c>
      <c r="J1" s="164" t="s">
        <v>799</v>
      </c>
      <c r="K1" s="7" t="s">
        <v>556</v>
      </c>
      <c r="L1" s="7" t="s">
        <v>559</v>
      </c>
      <c r="M1" s="7" t="s">
        <v>798</v>
      </c>
      <c r="N1" s="7" t="s">
        <v>565</v>
      </c>
      <c r="O1" s="7" t="s">
        <v>566</v>
      </c>
      <c r="P1" s="7" t="s">
        <v>568</v>
      </c>
      <c r="Q1" s="7" t="s">
        <v>794</v>
      </c>
      <c r="R1" s="7" t="s">
        <v>795</v>
      </c>
      <c r="S1" s="231" t="s">
        <v>805</v>
      </c>
      <c r="T1" s="231" t="s">
        <v>806</v>
      </c>
    </row>
    <row r="2" spans="1:20" x14ac:dyDescent="0.35">
      <c r="A2" s="9">
        <v>1</v>
      </c>
      <c r="B2" s="9" t="s">
        <v>4</v>
      </c>
      <c r="C2" s="9" t="s">
        <v>5</v>
      </c>
      <c r="D2" s="9" t="s">
        <v>547</v>
      </c>
      <c r="E2" s="9">
        <f>Таблица1[[#This Row],[Грунт]]+Таблица1[[#This Row],[Щебень]]+Таблица1[[#This Row],[Асфальт]]+Таблица1[[#This Row],[Бетон]]</f>
        <v>1.75</v>
      </c>
      <c r="F2" s="104"/>
      <c r="G2" s="105"/>
      <c r="H2" s="106">
        <v>1.75</v>
      </c>
      <c r="I2" s="107"/>
      <c r="J2" s="165"/>
      <c r="K2" s="10" t="s">
        <v>557</v>
      </c>
      <c r="N2" s="8" t="b">
        <f>OR(Таблица1[[#This Row],[Щебень]]&gt;0,Таблица1[[#This Row],[Асфальт]]&gt;0,Таблица1[[#This Row],[Бетон]]&gt;0)</f>
        <v>1</v>
      </c>
      <c r="O2" s="8">
        <v>1</v>
      </c>
      <c r="P2" s="8">
        <v>1</v>
      </c>
      <c r="Q2" s="8">
        <v>1</v>
      </c>
      <c r="S2" s="228"/>
      <c r="T2" s="228"/>
    </row>
    <row r="3" spans="1:20" x14ac:dyDescent="0.35">
      <c r="A3" s="9">
        <v>2</v>
      </c>
      <c r="B3" s="9" t="s">
        <v>6</v>
      </c>
      <c r="C3" s="9" t="s">
        <v>7</v>
      </c>
      <c r="D3" s="9" t="s">
        <v>547</v>
      </c>
      <c r="E3" s="9">
        <f>Таблица1[[#This Row],[Грунт]]+Таблица1[[#This Row],[Щебень]]+Таблица1[[#This Row],[Асфальт]]+Таблица1[[#This Row],[Бетон]]</f>
        <v>0.7</v>
      </c>
      <c r="F3" s="104"/>
      <c r="G3" s="105"/>
      <c r="H3" s="106">
        <v>0.7</v>
      </c>
      <c r="I3" s="107"/>
      <c r="J3" s="165"/>
      <c r="K3" s="10" t="s">
        <v>557</v>
      </c>
      <c r="N3" s="8" t="b">
        <f>OR(Таблица1[[#This Row],[Щебень]]&gt;0,Таблица1[[#This Row],[Асфальт]]&gt;0,Таблица1[[#This Row],[Бетон]]&gt;0)</f>
        <v>1</v>
      </c>
      <c r="O3" s="8">
        <v>1</v>
      </c>
      <c r="P3" s="8">
        <v>1</v>
      </c>
      <c r="Q3" s="8">
        <v>2</v>
      </c>
      <c r="S3" s="228"/>
      <c r="T3" s="228"/>
    </row>
    <row r="4" spans="1:20" x14ac:dyDescent="0.35">
      <c r="A4" s="9">
        <v>3</v>
      </c>
      <c r="B4" s="9" t="s">
        <v>8</v>
      </c>
      <c r="C4" s="9" t="s">
        <v>9</v>
      </c>
      <c r="D4" s="9" t="s">
        <v>547</v>
      </c>
      <c r="E4" s="9">
        <f>Таблица1[[#This Row],[Грунт]]+Таблица1[[#This Row],[Щебень]]+Таблица1[[#This Row],[Асфальт]]+Таблица1[[#This Row],[Бетон]]</f>
        <v>0.8</v>
      </c>
      <c r="F4" s="104">
        <v>0.8</v>
      </c>
      <c r="G4" s="105"/>
      <c r="H4" s="106"/>
      <c r="I4" s="107"/>
      <c r="J4" s="165"/>
      <c r="N4" s="8" t="b">
        <f>OR(Таблица1[[#This Row],[Щебень]]&gt;0,Таблица1[[#This Row],[Асфальт]]&gt;0,Таблица1[[#This Row],[Бетон]]&gt;0)</f>
        <v>0</v>
      </c>
      <c r="Q4" s="8">
        <v>3</v>
      </c>
      <c r="S4" s="228"/>
      <c r="T4" s="228"/>
    </row>
    <row r="5" spans="1:20" x14ac:dyDescent="0.35">
      <c r="A5" s="9">
        <v>4</v>
      </c>
      <c r="B5" s="9" t="s">
        <v>10</v>
      </c>
      <c r="C5" s="9" t="s">
        <v>11</v>
      </c>
      <c r="D5" s="9" t="s">
        <v>547</v>
      </c>
      <c r="E5" s="9">
        <f>Таблица1[[#This Row],[Грунт]]+Таблица1[[#This Row],[Щебень]]+Таблица1[[#This Row],[Асфальт]]+Таблица1[[#This Row],[Бетон]]</f>
        <v>0.2</v>
      </c>
      <c r="F5" s="104">
        <v>0.2</v>
      </c>
      <c r="G5" s="105"/>
      <c r="H5" s="106"/>
      <c r="I5" s="107"/>
      <c r="J5" s="165"/>
      <c r="N5" s="8" t="b">
        <f>OR(Таблица1[[#This Row],[Щебень]]&gt;0,Таблица1[[#This Row],[Асфальт]]&gt;0,Таблица1[[#This Row],[Бетон]]&gt;0)</f>
        <v>0</v>
      </c>
      <c r="Q5" s="8">
        <v>4</v>
      </c>
      <c r="S5" s="228"/>
      <c r="T5" s="228"/>
    </row>
    <row r="6" spans="1:20" x14ac:dyDescent="0.35">
      <c r="A6" s="9">
        <v>5</v>
      </c>
      <c r="B6" s="9" t="s">
        <v>12</v>
      </c>
      <c r="C6" s="9" t="s">
        <v>13</v>
      </c>
      <c r="D6" s="9" t="s">
        <v>537</v>
      </c>
      <c r="E6" s="9">
        <f>Таблица1[[#This Row],[Грунт]]+Таблица1[[#This Row],[Щебень]]+Таблица1[[#This Row],[Асфальт]]+Таблица1[[#This Row],[Бетон]]</f>
        <v>2</v>
      </c>
      <c r="F6" s="104">
        <v>2</v>
      </c>
      <c r="G6" s="105"/>
      <c r="H6" s="106"/>
      <c r="I6" s="107"/>
      <c r="J6" s="165"/>
      <c r="K6" s="10" t="s">
        <v>557</v>
      </c>
      <c r="N6" s="8" t="b">
        <f>OR(Таблица1[[#This Row],[Щебень]]&gt;0,Таблица1[[#This Row],[Асфальт]]&gt;0,Таблица1[[#This Row],[Бетон]]&gt;0)</f>
        <v>0</v>
      </c>
      <c r="Q6" s="8">
        <v>5</v>
      </c>
      <c r="S6" s="228"/>
      <c r="T6" s="228"/>
    </row>
    <row r="7" spans="1:20" x14ac:dyDescent="0.35">
      <c r="A7" s="9">
        <v>6</v>
      </c>
      <c r="B7" s="9" t="s">
        <v>14</v>
      </c>
      <c r="C7" s="9" t="s">
        <v>555</v>
      </c>
      <c r="D7" s="9" t="s">
        <v>537</v>
      </c>
      <c r="E7" s="9">
        <f>Таблица1[[#This Row],[Грунт]]+Таблица1[[#This Row],[Щебень]]+Таблица1[[#This Row],[Асфальт]]+Таблица1[[#This Row],[Бетон]]</f>
        <v>3.5</v>
      </c>
      <c r="F7" s="104">
        <v>3.5</v>
      </c>
      <c r="G7" s="105"/>
      <c r="H7" s="106"/>
      <c r="I7" s="107"/>
      <c r="J7" s="165"/>
      <c r="N7" s="8" t="b">
        <f>OR(Таблица1[[#This Row],[Щебень]]&gt;0,Таблица1[[#This Row],[Асфальт]]&gt;0,Таблица1[[#This Row],[Бетон]]&gt;0)</f>
        <v>0</v>
      </c>
      <c r="Q7" s="8">
        <v>6</v>
      </c>
      <c r="S7" s="228"/>
      <c r="T7" s="228"/>
    </row>
    <row r="8" spans="1:20" x14ac:dyDescent="0.35">
      <c r="A8" s="9">
        <v>7</v>
      </c>
      <c r="B8" s="9" t="s">
        <v>15</v>
      </c>
      <c r="C8" s="9" t="s">
        <v>16</v>
      </c>
      <c r="D8" s="9" t="s">
        <v>549</v>
      </c>
      <c r="E8" s="9">
        <f>Таблица1[[#This Row],[Грунт]]+Таблица1[[#This Row],[Щебень]]+Таблица1[[#This Row],[Асфальт]]+Таблица1[[#This Row],[Бетон]]</f>
        <v>3.5</v>
      </c>
      <c r="F8" s="104">
        <v>3.5</v>
      </c>
      <c r="G8" s="105"/>
      <c r="H8" s="106"/>
      <c r="I8" s="107"/>
      <c r="J8" s="165"/>
      <c r="N8" s="8" t="b">
        <f>OR(Таблица1[[#This Row],[Щебень]]&gt;0,Таблица1[[#This Row],[Асфальт]]&gt;0,Таблица1[[#This Row],[Бетон]]&gt;0)</f>
        <v>0</v>
      </c>
      <c r="Q8" s="8">
        <v>7</v>
      </c>
      <c r="S8" s="228"/>
      <c r="T8" s="228"/>
    </row>
    <row r="9" spans="1:20" ht="46.5" x14ac:dyDescent="0.35">
      <c r="A9" s="9">
        <v>8</v>
      </c>
      <c r="B9" s="9" t="s">
        <v>17</v>
      </c>
      <c r="C9" s="9" t="s">
        <v>18</v>
      </c>
      <c r="D9" s="9" t="s">
        <v>549</v>
      </c>
      <c r="E9" s="9">
        <f>Таблица1[[#This Row],[Грунт]]+Таблица1[[#This Row],[Щебень]]+Таблица1[[#This Row],[Асфальт]]+Таблица1[[#This Row],[Бетон]]</f>
        <v>1.5</v>
      </c>
      <c r="F9" s="104">
        <v>1.5</v>
      </c>
      <c r="G9" s="105"/>
      <c r="H9" s="106"/>
      <c r="I9" s="107"/>
      <c r="J9" s="165"/>
      <c r="N9" s="8" t="b">
        <f>OR(Таблица1[[#This Row],[Щебень]]&gt;0,Таблица1[[#This Row],[Асфальт]]&gt;0,Таблица1[[#This Row],[Бетон]]&gt;0)</f>
        <v>0</v>
      </c>
      <c r="Q9" s="8">
        <v>8</v>
      </c>
      <c r="S9" s="228"/>
      <c r="T9" s="228"/>
    </row>
    <row r="10" spans="1:20" x14ac:dyDescent="0.35">
      <c r="A10" s="9">
        <v>9</v>
      </c>
      <c r="B10" s="9" t="s">
        <v>19</v>
      </c>
      <c r="C10" s="9" t="s">
        <v>20</v>
      </c>
      <c r="D10" s="9" t="s">
        <v>549</v>
      </c>
      <c r="E10" s="9">
        <f>Таблица1[[#This Row],[Грунт]]+Таблица1[[#This Row],[Щебень]]+Таблица1[[#This Row],[Асфальт]]+Таблица1[[#This Row],[Бетон]]</f>
        <v>1.5</v>
      </c>
      <c r="F10" s="104">
        <v>1.5</v>
      </c>
      <c r="G10" s="105"/>
      <c r="H10" s="106"/>
      <c r="I10" s="107"/>
      <c r="J10" s="165"/>
      <c r="N10" s="8" t="b">
        <f>OR(Таблица1[[#This Row],[Щебень]]&gt;0,Таблица1[[#This Row],[Асфальт]]&gt;0,Таблица1[[#This Row],[Бетон]]&gt;0)</f>
        <v>0</v>
      </c>
      <c r="Q10" s="8">
        <v>9</v>
      </c>
      <c r="S10" s="228"/>
      <c r="T10" s="228"/>
    </row>
    <row r="11" spans="1:20" x14ac:dyDescent="0.35">
      <c r="A11" s="9">
        <v>10</v>
      </c>
      <c r="B11" s="9" t="s">
        <v>21</v>
      </c>
      <c r="C11" s="9" t="s">
        <v>22</v>
      </c>
      <c r="D11" s="9" t="s">
        <v>549</v>
      </c>
      <c r="E11" s="9">
        <f>Таблица1[[#This Row],[Грунт]]+Таблица1[[#This Row],[Щебень]]+Таблица1[[#This Row],[Асфальт]]+Таблица1[[#This Row],[Бетон]]</f>
        <v>1</v>
      </c>
      <c r="F11" s="104">
        <v>1</v>
      </c>
      <c r="G11" s="105"/>
      <c r="H11" s="106"/>
      <c r="I11" s="107"/>
      <c r="J11" s="165"/>
      <c r="N11" s="8" t="b">
        <f>OR(Таблица1[[#This Row],[Щебень]]&gt;0,Таблица1[[#This Row],[Асфальт]]&gt;0,Таблица1[[#This Row],[Бетон]]&gt;0)</f>
        <v>0</v>
      </c>
      <c r="Q11" s="8">
        <v>10</v>
      </c>
      <c r="S11" s="228"/>
      <c r="T11" s="228"/>
    </row>
    <row r="12" spans="1:20" x14ac:dyDescent="0.35">
      <c r="A12" s="9">
        <v>11</v>
      </c>
      <c r="B12" s="9" t="s">
        <v>23</v>
      </c>
      <c r="C12" s="9" t="s">
        <v>24</v>
      </c>
      <c r="D12" s="9" t="s">
        <v>549</v>
      </c>
      <c r="E12" s="9">
        <f>Таблица1[[#This Row],[Грунт]]+Таблица1[[#This Row],[Щебень]]+Таблица1[[#This Row],[Асфальт]]+Таблица1[[#This Row],[Бетон]]</f>
        <v>0.5</v>
      </c>
      <c r="F12" s="104">
        <v>0.5</v>
      </c>
      <c r="G12" s="105"/>
      <c r="H12" s="106"/>
      <c r="I12" s="107"/>
      <c r="J12" s="165"/>
      <c r="N12" s="8" t="b">
        <f>OR(Таблица1[[#This Row],[Щебень]]&gt;0,Таблица1[[#This Row],[Асфальт]]&gt;0,Таблица1[[#This Row],[Бетон]]&gt;0)</f>
        <v>0</v>
      </c>
      <c r="Q12" s="8">
        <v>11</v>
      </c>
      <c r="S12" s="228"/>
      <c r="T12" s="228"/>
    </row>
    <row r="13" spans="1:20" x14ac:dyDescent="0.35">
      <c r="A13" s="9">
        <v>12</v>
      </c>
      <c r="B13" s="9" t="s">
        <v>25</v>
      </c>
      <c r="C13" s="9" t="s">
        <v>26</v>
      </c>
      <c r="D13" s="9" t="s">
        <v>549</v>
      </c>
      <c r="E13" s="9">
        <f>Таблица1[[#This Row],[Грунт]]+Таблица1[[#This Row],[Щебень]]+Таблица1[[#This Row],[Асфальт]]+Таблица1[[#This Row],[Бетон]]</f>
        <v>3.5</v>
      </c>
      <c r="F13" s="104">
        <v>3.5</v>
      </c>
      <c r="G13" s="105"/>
      <c r="H13" s="106"/>
      <c r="I13" s="107"/>
      <c r="J13" s="165"/>
      <c r="N13" s="8" t="b">
        <f>OR(Таблица1[[#This Row],[Щебень]]&gt;0,Таблица1[[#This Row],[Асфальт]]&gt;0,Таблица1[[#This Row],[Бетон]]&gt;0)</f>
        <v>0</v>
      </c>
      <c r="Q13" s="8">
        <v>12</v>
      </c>
      <c r="S13" s="228"/>
      <c r="T13" s="228"/>
    </row>
    <row r="14" spans="1:20" x14ac:dyDescent="0.35">
      <c r="A14" s="9">
        <v>13</v>
      </c>
      <c r="B14" s="9" t="s">
        <v>27</v>
      </c>
      <c r="C14" s="9" t="s">
        <v>28</v>
      </c>
      <c r="D14" s="9" t="s">
        <v>544</v>
      </c>
      <c r="E14" s="9">
        <f>Таблица1[[#This Row],[Грунт]]+Таблица1[[#This Row],[Щебень]]+Таблица1[[#This Row],[Асфальт]]+Таблица1[[#This Row],[Бетон]]</f>
        <v>2</v>
      </c>
      <c r="F14" s="104">
        <v>2</v>
      </c>
      <c r="G14" s="105"/>
      <c r="H14" s="106"/>
      <c r="I14" s="107"/>
      <c r="J14" s="165"/>
      <c r="N14" s="8" t="b">
        <f>OR(Таблица1[[#This Row],[Щебень]]&gt;0,Таблица1[[#This Row],[Асфальт]]&gt;0,Таблица1[[#This Row],[Бетон]]&gt;0)</f>
        <v>0</v>
      </c>
      <c r="Q14" s="8">
        <v>13</v>
      </c>
      <c r="S14" s="228"/>
      <c r="T14" s="228"/>
    </row>
    <row r="15" spans="1:20" x14ac:dyDescent="0.35">
      <c r="A15" s="9">
        <v>14</v>
      </c>
      <c r="B15" s="9" t="s">
        <v>29</v>
      </c>
      <c r="C15" s="9" t="s">
        <v>30</v>
      </c>
      <c r="D15" s="9" t="s">
        <v>544</v>
      </c>
      <c r="E15" s="9">
        <f>Таблица1[[#This Row],[Грунт]]+Таблица1[[#This Row],[Щебень]]+Таблица1[[#This Row],[Асфальт]]+Таблица1[[#This Row],[Бетон]]</f>
        <v>2</v>
      </c>
      <c r="F15" s="104">
        <v>2</v>
      </c>
      <c r="G15" s="105"/>
      <c r="H15" s="106"/>
      <c r="I15" s="107"/>
      <c r="J15" s="165"/>
      <c r="N15" s="8" t="b">
        <f>OR(Таблица1[[#This Row],[Щебень]]&gt;0,Таблица1[[#This Row],[Асфальт]]&gt;0,Таблица1[[#This Row],[Бетон]]&gt;0)</f>
        <v>0</v>
      </c>
      <c r="Q15" s="8">
        <v>14</v>
      </c>
      <c r="S15" s="228"/>
      <c r="T15" s="228"/>
    </row>
    <row r="16" spans="1:20" x14ac:dyDescent="0.35">
      <c r="A16" s="9">
        <v>15</v>
      </c>
      <c r="B16" s="9" t="s">
        <v>31</v>
      </c>
      <c r="C16" s="9" t="s">
        <v>32</v>
      </c>
      <c r="D16" s="9" t="s">
        <v>544</v>
      </c>
      <c r="E16" s="9">
        <f>Таблица1[[#This Row],[Грунт]]+Таблица1[[#This Row],[Щебень]]+Таблица1[[#This Row],[Асфальт]]+Таблица1[[#This Row],[Бетон]]</f>
        <v>2.5</v>
      </c>
      <c r="F16" s="104">
        <v>1.6</v>
      </c>
      <c r="G16" s="105">
        <v>0.9</v>
      </c>
      <c r="H16" s="106"/>
      <c r="I16" s="107"/>
      <c r="J16" s="165"/>
      <c r="N16" s="8" t="b">
        <f>OR(Таблица1[[#This Row],[Щебень]]&gt;0,Таблица1[[#This Row],[Асфальт]]&gt;0,Таблица1[[#This Row],[Бетон]]&gt;0)</f>
        <v>1</v>
      </c>
      <c r="Q16" s="8">
        <v>15</v>
      </c>
      <c r="S16" s="228"/>
      <c r="T16" s="228"/>
    </row>
    <row r="17" spans="1:20" x14ac:dyDescent="0.35">
      <c r="A17" s="9">
        <v>16</v>
      </c>
      <c r="B17" s="9" t="s">
        <v>33</v>
      </c>
      <c r="C17" s="9" t="s">
        <v>34</v>
      </c>
      <c r="D17" s="9" t="s">
        <v>544</v>
      </c>
      <c r="E17" s="9">
        <f>Таблица1[[#This Row],[Грунт]]+Таблица1[[#This Row],[Щебень]]+Таблица1[[#This Row],[Асфальт]]+Таблица1[[#This Row],[Бетон]]</f>
        <v>2</v>
      </c>
      <c r="F17" s="104">
        <v>1.4</v>
      </c>
      <c r="G17" s="105">
        <v>0.6</v>
      </c>
      <c r="H17" s="106"/>
      <c r="I17" s="107"/>
      <c r="J17" s="165"/>
      <c r="N17" s="8" t="b">
        <f>OR(Таблица1[[#This Row],[Щебень]]&gt;0,Таблица1[[#This Row],[Асфальт]]&gt;0,Таблица1[[#This Row],[Бетон]]&gt;0)</f>
        <v>1</v>
      </c>
      <c r="Q17" s="8">
        <v>16</v>
      </c>
      <c r="S17" s="228"/>
      <c r="T17" s="228"/>
    </row>
    <row r="18" spans="1:20" x14ac:dyDescent="0.35">
      <c r="A18" s="9">
        <v>17</v>
      </c>
      <c r="B18" s="9" t="s">
        <v>35</v>
      </c>
      <c r="C18" s="9" t="s">
        <v>36</v>
      </c>
      <c r="D18" s="9" t="s">
        <v>552</v>
      </c>
      <c r="E18" s="9">
        <f>Таблица1[[#This Row],[Грунт]]+Таблица1[[#This Row],[Щебень]]+Таблица1[[#This Row],[Асфальт]]+Таблица1[[#This Row],[Бетон]]</f>
        <v>1</v>
      </c>
      <c r="F18" s="104">
        <v>1</v>
      </c>
      <c r="G18" s="105"/>
      <c r="H18" s="106"/>
      <c r="I18" s="107"/>
      <c r="J18" s="165"/>
      <c r="K18" s="10" t="s">
        <v>557</v>
      </c>
      <c r="N18" s="8" t="b">
        <f>OR(Таблица1[[#This Row],[Щебень]]&gt;0,Таблица1[[#This Row],[Асфальт]]&gt;0,Таблица1[[#This Row],[Бетон]]&gt;0)</f>
        <v>0</v>
      </c>
      <c r="Q18" s="8">
        <v>17</v>
      </c>
      <c r="S18" s="228"/>
      <c r="T18" s="228"/>
    </row>
    <row r="19" spans="1:20" x14ac:dyDescent="0.35">
      <c r="A19" s="9">
        <v>18</v>
      </c>
      <c r="B19" s="9" t="s">
        <v>37</v>
      </c>
      <c r="C19" s="9" t="s">
        <v>38</v>
      </c>
      <c r="D19" s="11" t="s">
        <v>551</v>
      </c>
      <c r="E19" s="9">
        <f>Таблица1[[#This Row],[Грунт]]+Таблица1[[#This Row],[Щебень]]+Таблица1[[#This Row],[Асфальт]]+Таблица1[[#This Row],[Бетон]]</f>
        <v>2</v>
      </c>
      <c r="F19" s="104"/>
      <c r="G19" s="105">
        <v>2</v>
      </c>
      <c r="H19" s="106"/>
      <c r="I19" s="107"/>
      <c r="J19" s="165"/>
      <c r="N19" s="8" t="b">
        <f>OR(Таблица1[[#This Row],[Щебень]]&gt;0,Таблица1[[#This Row],[Асфальт]]&gt;0,Таблица1[[#This Row],[Бетон]]&gt;0)</f>
        <v>1</v>
      </c>
      <c r="O19" s="8">
        <v>1</v>
      </c>
      <c r="P19" s="8">
        <v>1</v>
      </c>
      <c r="Q19" s="8">
        <v>18</v>
      </c>
      <c r="S19" s="228"/>
      <c r="T19" s="228"/>
    </row>
    <row r="20" spans="1:20" x14ac:dyDescent="0.35">
      <c r="A20" s="9">
        <v>19</v>
      </c>
      <c r="B20" s="9" t="s">
        <v>39</v>
      </c>
      <c r="C20" s="9" t="s">
        <v>40</v>
      </c>
      <c r="D20" s="11" t="s">
        <v>551</v>
      </c>
      <c r="E20" s="9">
        <f>Таблица1[[#This Row],[Грунт]]+Таблица1[[#This Row],[Щебень]]+Таблица1[[#This Row],[Асфальт]]+Таблица1[[#This Row],[Бетон]]</f>
        <v>1.5</v>
      </c>
      <c r="F20" s="104">
        <v>1.5</v>
      </c>
      <c r="G20" s="105"/>
      <c r="H20" s="106"/>
      <c r="I20" s="107"/>
      <c r="J20" s="165"/>
      <c r="N20" s="8" t="b">
        <f>OR(Таблица1[[#This Row],[Щебень]]&gt;0,Таблица1[[#This Row],[Асфальт]]&gt;0,Таблица1[[#This Row],[Бетон]]&gt;0)</f>
        <v>0</v>
      </c>
      <c r="Q20" s="8">
        <v>19</v>
      </c>
      <c r="S20" s="228"/>
      <c r="T20" s="228"/>
    </row>
    <row r="21" spans="1:20" x14ac:dyDescent="0.35">
      <c r="A21" s="9">
        <v>20</v>
      </c>
      <c r="B21" s="9" t="s">
        <v>41</v>
      </c>
      <c r="C21" s="9" t="s">
        <v>42</v>
      </c>
      <c r="D21" s="11" t="s">
        <v>551</v>
      </c>
      <c r="E21" s="9">
        <f>Таблица1[[#This Row],[Грунт]]+Таблица1[[#This Row],[Щебень]]+Таблица1[[#This Row],[Асфальт]]+Таблица1[[#This Row],[Бетон]]</f>
        <v>2</v>
      </c>
      <c r="F21" s="104">
        <v>2</v>
      </c>
      <c r="G21" s="105"/>
      <c r="H21" s="106"/>
      <c r="I21" s="107"/>
      <c r="J21" s="165"/>
      <c r="N21" s="8" t="b">
        <f>OR(Таблица1[[#This Row],[Щебень]]&gt;0,Таблица1[[#This Row],[Асфальт]]&gt;0,Таблица1[[#This Row],[Бетон]]&gt;0)</f>
        <v>0</v>
      </c>
      <c r="Q21" s="8">
        <v>20</v>
      </c>
      <c r="S21" s="228"/>
      <c r="T21" s="228"/>
    </row>
    <row r="22" spans="1:20" x14ac:dyDescent="0.35">
      <c r="A22" s="9">
        <v>21</v>
      </c>
      <c r="B22" s="9" t="s">
        <v>43</v>
      </c>
      <c r="C22" s="9" t="s">
        <v>44</v>
      </c>
      <c r="D22" s="11" t="s">
        <v>551</v>
      </c>
      <c r="E22" s="9">
        <f>Таблица1[[#This Row],[Грунт]]+Таблица1[[#This Row],[Щебень]]+Таблица1[[#This Row],[Асфальт]]+Таблица1[[#This Row],[Бетон]]</f>
        <v>3</v>
      </c>
      <c r="F22" s="104">
        <v>3</v>
      </c>
      <c r="G22" s="105"/>
      <c r="H22" s="106"/>
      <c r="I22" s="107"/>
      <c r="J22" s="165"/>
      <c r="N22" s="8" t="b">
        <f>OR(Таблица1[[#This Row],[Щебень]]&gt;0,Таблица1[[#This Row],[Асфальт]]&gt;0,Таблица1[[#This Row],[Бетон]]&gt;0)</f>
        <v>0</v>
      </c>
      <c r="Q22" s="8">
        <v>21</v>
      </c>
      <c r="S22" s="228"/>
      <c r="T22" s="228"/>
    </row>
    <row r="23" spans="1:20" x14ac:dyDescent="0.35">
      <c r="A23" s="9">
        <v>22</v>
      </c>
      <c r="B23" s="9" t="s">
        <v>45</v>
      </c>
      <c r="C23" s="9" t="s">
        <v>46</v>
      </c>
      <c r="D23" s="11" t="s">
        <v>540</v>
      </c>
      <c r="E23" s="9">
        <f>Таблица1[[#This Row],[Грунт]]+Таблица1[[#This Row],[Щебень]]+Таблица1[[#This Row],[Асфальт]]+Таблица1[[#This Row],[Бетон]]</f>
        <v>2</v>
      </c>
      <c r="F23" s="104">
        <v>2</v>
      </c>
      <c r="G23" s="105"/>
      <c r="H23" s="106"/>
      <c r="I23" s="107"/>
      <c r="J23" s="165"/>
      <c r="N23" s="8" t="b">
        <f>OR(Таблица1[[#This Row],[Щебень]]&gt;0,Таблица1[[#This Row],[Асфальт]]&gt;0,Таблица1[[#This Row],[Бетон]]&gt;0)</f>
        <v>0</v>
      </c>
      <c r="Q23" s="8">
        <v>22</v>
      </c>
      <c r="S23" s="228"/>
      <c r="T23" s="228"/>
    </row>
    <row r="24" spans="1:20" x14ac:dyDescent="0.35">
      <c r="A24" s="9">
        <v>23</v>
      </c>
      <c r="B24" s="9" t="s">
        <v>47</v>
      </c>
      <c r="C24" s="9" t="s">
        <v>48</v>
      </c>
      <c r="D24" s="11" t="s">
        <v>540</v>
      </c>
      <c r="E24" s="9">
        <f>Таблица1[[#This Row],[Грунт]]+Таблица1[[#This Row],[Щебень]]+Таблица1[[#This Row],[Асфальт]]+Таблица1[[#This Row],[Бетон]]</f>
        <v>2</v>
      </c>
      <c r="F24" s="104">
        <v>2</v>
      </c>
      <c r="G24" s="105"/>
      <c r="H24" s="106"/>
      <c r="I24" s="107"/>
      <c r="J24" s="165"/>
      <c r="N24" s="8" t="b">
        <f>OR(Таблица1[[#This Row],[Щебень]]&gt;0,Таблица1[[#This Row],[Асфальт]]&gt;0,Таблица1[[#This Row],[Бетон]]&gt;0)</f>
        <v>0</v>
      </c>
      <c r="Q24" s="8">
        <v>23</v>
      </c>
      <c r="S24" s="228"/>
      <c r="T24" s="228"/>
    </row>
    <row r="25" spans="1:20" x14ac:dyDescent="0.35">
      <c r="A25" s="9">
        <v>24</v>
      </c>
      <c r="B25" s="9" t="s">
        <v>49</v>
      </c>
      <c r="C25" s="9" t="s">
        <v>50</v>
      </c>
      <c r="D25" s="11" t="s">
        <v>540</v>
      </c>
      <c r="E25" s="9">
        <f>Таблица1[[#This Row],[Грунт]]+Таблица1[[#This Row],[Щебень]]+Таблица1[[#This Row],[Асфальт]]+Таблица1[[#This Row],[Бетон]]</f>
        <v>1</v>
      </c>
      <c r="F25" s="104">
        <v>1</v>
      </c>
      <c r="G25" s="105"/>
      <c r="H25" s="106"/>
      <c r="I25" s="107"/>
      <c r="J25" s="165"/>
      <c r="N25" s="8" t="b">
        <f>OR(Таблица1[[#This Row],[Щебень]]&gt;0,Таблица1[[#This Row],[Асфальт]]&gt;0,Таблица1[[#This Row],[Бетон]]&gt;0)</f>
        <v>0</v>
      </c>
      <c r="Q25" s="8">
        <v>24</v>
      </c>
      <c r="S25" s="228"/>
      <c r="T25" s="228"/>
    </row>
    <row r="26" spans="1:20" x14ac:dyDescent="0.35">
      <c r="A26" s="9">
        <v>25</v>
      </c>
      <c r="B26" s="9" t="s">
        <v>51</v>
      </c>
      <c r="C26" s="9" t="s">
        <v>52</v>
      </c>
      <c r="D26" s="11" t="s">
        <v>540</v>
      </c>
      <c r="E26" s="9">
        <f>Таблица1[[#This Row],[Грунт]]+Таблица1[[#This Row],[Щебень]]+Таблица1[[#This Row],[Асфальт]]+Таблица1[[#This Row],[Бетон]]</f>
        <v>3</v>
      </c>
      <c r="F26" s="104"/>
      <c r="G26" s="105">
        <v>3</v>
      </c>
      <c r="H26" s="106"/>
      <c r="I26" s="107"/>
      <c r="J26" s="165"/>
      <c r="N26" s="8" t="b">
        <f>OR(Таблица1[[#This Row],[Щебень]]&gt;0,Таблица1[[#This Row],[Асфальт]]&gt;0,Таблица1[[#This Row],[Бетон]]&gt;0)</f>
        <v>1</v>
      </c>
      <c r="O26" s="8">
        <v>1</v>
      </c>
      <c r="P26" s="8">
        <v>1</v>
      </c>
      <c r="Q26" s="8">
        <v>25</v>
      </c>
      <c r="S26" s="228"/>
      <c r="T26" s="228"/>
    </row>
    <row r="27" spans="1:20" x14ac:dyDescent="0.35">
      <c r="A27" s="9">
        <v>26</v>
      </c>
      <c r="B27" s="9" t="s">
        <v>53</v>
      </c>
      <c r="C27" s="9" t="s">
        <v>54</v>
      </c>
      <c r="D27" s="11" t="s">
        <v>540</v>
      </c>
      <c r="E27" s="9">
        <f>Таблица1[[#This Row],[Грунт]]+Таблица1[[#This Row],[Щебень]]+Таблица1[[#This Row],[Асфальт]]+Таблица1[[#This Row],[Бетон]]</f>
        <v>2</v>
      </c>
      <c r="F27" s="104">
        <v>2</v>
      </c>
      <c r="G27" s="105"/>
      <c r="H27" s="106"/>
      <c r="I27" s="107"/>
      <c r="J27" s="165"/>
      <c r="N27" s="8" t="b">
        <f>OR(Таблица1[[#This Row],[Щебень]]&gt;0,Таблица1[[#This Row],[Асфальт]]&gt;0,Таблица1[[#This Row],[Бетон]]&gt;0)</f>
        <v>0</v>
      </c>
      <c r="Q27" s="8">
        <v>26</v>
      </c>
      <c r="S27" s="228"/>
      <c r="T27" s="228"/>
    </row>
    <row r="28" spans="1:20" x14ac:dyDescent="0.35">
      <c r="A28" s="9">
        <v>27</v>
      </c>
      <c r="B28" s="9" t="s">
        <v>55</v>
      </c>
      <c r="C28" s="9" t="s">
        <v>56</v>
      </c>
      <c r="D28" s="11" t="s">
        <v>540</v>
      </c>
      <c r="E28" s="9">
        <f>Таблица1[[#This Row],[Грунт]]+Таблица1[[#This Row],[Щебень]]+Таблица1[[#This Row],[Асфальт]]+Таблица1[[#This Row],[Бетон]]</f>
        <v>1</v>
      </c>
      <c r="F28" s="104">
        <v>1</v>
      </c>
      <c r="G28" s="105"/>
      <c r="H28" s="106"/>
      <c r="I28" s="107"/>
      <c r="J28" s="165"/>
      <c r="N28" s="8" t="b">
        <f>OR(Таблица1[[#This Row],[Щебень]]&gt;0,Таблица1[[#This Row],[Асфальт]]&gt;0,Таблица1[[#This Row],[Бетон]]&gt;0)</f>
        <v>0</v>
      </c>
      <c r="Q28" s="8">
        <v>27</v>
      </c>
      <c r="S28" s="228"/>
      <c r="T28" s="228"/>
    </row>
    <row r="29" spans="1:20" x14ac:dyDescent="0.35">
      <c r="A29" s="9">
        <v>28</v>
      </c>
      <c r="B29" s="9" t="s">
        <v>57</v>
      </c>
      <c r="C29" s="9" t="s">
        <v>58</v>
      </c>
      <c r="D29" s="9" t="s">
        <v>538</v>
      </c>
      <c r="E29" s="9">
        <f>Таблица1[[#This Row],[Грунт]]+Таблица1[[#This Row],[Щебень]]+Таблица1[[#This Row],[Асфальт]]+Таблица1[[#This Row],[Бетон]]</f>
        <v>2</v>
      </c>
      <c r="F29" s="104">
        <v>1.875</v>
      </c>
      <c r="G29" s="105">
        <v>0.125</v>
      </c>
      <c r="H29" s="106"/>
      <c r="I29" s="107"/>
      <c r="J29" s="165"/>
      <c r="K29" s="10" t="s">
        <v>558</v>
      </c>
      <c r="N29" s="8" t="b">
        <f>OR(Таблица1[[#This Row],[Щебень]]&gt;0,Таблица1[[#This Row],[Асфальт]]&gt;0,Таблица1[[#This Row],[Бетон]]&gt;0)</f>
        <v>1</v>
      </c>
      <c r="O29" s="8">
        <v>1</v>
      </c>
      <c r="P29" s="8">
        <v>1</v>
      </c>
      <c r="Q29" s="8">
        <v>28</v>
      </c>
      <c r="S29" s="228"/>
      <c r="T29" s="228"/>
    </row>
    <row r="30" spans="1:20" x14ac:dyDescent="0.35">
      <c r="A30" s="9">
        <v>29</v>
      </c>
      <c r="B30" s="9" t="s">
        <v>59</v>
      </c>
      <c r="C30" s="9" t="s">
        <v>60</v>
      </c>
      <c r="D30" s="9" t="s">
        <v>538</v>
      </c>
      <c r="E30" s="9">
        <f>Таблица1[[#This Row],[Грунт]]+Таблица1[[#This Row],[Щебень]]+Таблица1[[#This Row],[Асфальт]]+Таблица1[[#This Row],[Бетон]]</f>
        <v>1</v>
      </c>
      <c r="F30" s="104">
        <v>1</v>
      </c>
      <c r="G30" s="105"/>
      <c r="H30" s="106"/>
      <c r="I30" s="107"/>
      <c r="J30" s="165"/>
      <c r="K30" s="8" t="s">
        <v>558</v>
      </c>
      <c r="N30" s="8" t="b">
        <f>OR(Таблица1[[#This Row],[Щебень]]&gt;0,Таблица1[[#This Row],[Асфальт]]&gt;0,Таблица1[[#This Row],[Бетон]]&gt;0)</f>
        <v>0</v>
      </c>
      <c r="Q30" s="8">
        <v>29</v>
      </c>
      <c r="S30" s="228"/>
      <c r="T30" s="228"/>
    </row>
    <row r="31" spans="1:20" x14ac:dyDescent="0.35">
      <c r="A31" s="9">
        <v>30</v>
      </c>
      <c r="B31" s="9" t="s">
        <v>61</v>
      </c>
      <c r="C31" s="9" t="s">
        <v>62</v>
      </c>
      <c r="D31" s="9" t="s">
        <v>538</v>
      </c>
      <c r="E31" s="9">
        <f>Таблица1[[#This Row],[Грунт]]+Таблица1[[#This Row],[Щебень]]+Таблица1[[#This Row],[Асфальт]]+Таблица1[[#This Row],[Бетон]]</f>
        <v>4</v>
      </c>
      <c r="F31" s="104"/>
      <c r="G31" s="105"/>
      <c r="H31" s="106">
        <v>4</v>
      </c>
      <c r="I31" s="107"/>
      <c r="J31" s="165"/>
      <c r="K31" s="8" t="s">
        <v>558</v>
      </c>
      <c r="N31" s="8" t="b">
        <f>OR(Таблица1[[#This Row],[Щебень]]&gt;0,Таблица1[[#This Row],[Асфальт]]&gt;0,Таблица1[[#This Row],[Бетон]]&gt;0)</f>
        <v>1</v>
      </c>
      <c r="O31" s="8">
        <v>1</v>
      </c>
      <c r="P31" s="8">
        <v>1</v>
      </c>
      <c r="Q31" s="8">
        <v>30</v>
      </c>
      <c r="S31" s="228"/>
      <c r="T31" s="228"/>
    </row>
    <row r="32" spans="1:20" ht="46.5" x14ac:dyDescent="0.35">
      <c r="A32" s="9">
        <v>31</v>
      </c>
      <c r="B32" s="9" t="s">
        <v>63</v>
      </c>
      <c r="C32" s="9" t="s">
        <v>64</v>
      </c>
      <c r="D32" s="9" t="s">
        <v>538</v>
      </c>
      <c r="E32" s="9">
        <f>Таблица1[[#This Row],[Грунт]]+Таблица1[[#This Row],[Щебень]]+Таблица1[[#This Row],[Асфальт]]+Таблица1[[#This Row],[Бетон]]</f>
        <v>2.218</v>
      </c>
      <c r="F32" s="104"/>
      <c r="G32" s="105">
        <v>2.218</v>
      </c>
      <c r="H32" s="106"/>
      <c r="I32" s="107"/>
      <c r="J32" s="165"/>
      <c r="K32" s="10" t="s">
        <v>557</v>
      </c>
      <c r="N32" s="8" t="b">
        <f>OR(Таблица1[[#This Row],[Щебень]]&gt;0,Таблица1[[#This Row],[Асфальт]]&gt;0,Таблица1[[#This Row],[Бетон]]&gt;0)</f>
        <v>1</v>
      </c>
      <c r="O32" s="8">
        <v>1</v>
      </c>
      <c r="P32" s="8">
        <v>1</v>
      </c>
      <c r="Q32" s="8">
        <v>31</v>
      </c>
      <c r="S32" s="228"/>
      <c r="T32" s="228"/>
    </row>
    <row r="33" spans="1:20" x14ac:dyDescent="0.35">
      <c r="A33" s="9">
        <v>32</v>
      </c>
      <c r="B33" s="9" t="s">
        <v>65</v>
      </c>
      <c r="C33" s="9" t="s">
        <v>66</v>
      </c>
      <c r="D33" s="9" t="s">
        <v>542</v>
      </c>
      <c r="E33" s="9">
        <f>Таблица1[[#This Row],[Грунт]]+Таблица1[[#This Row],[Щебень]]+Таблица1[[#This Row],[Асфальт]]+Таблица1[[#This Row],[Бетон]]</f>
        <v>3</v>
      </c>
      <c r="F33" s="104">
        <v>3</v>
      </c>
      <c r="G33" s="105"/>
      <c r="H33" s="106">
        <v>0</v>
      </c>
      <c r="I33" s="107"/>
      <c r="J33" s="165"/>
      <c r="N33" s="8" t="b">
        <f>OR(Таблица1[[#This Row],[Щебень]]&gt;0,Таблица1[[#This Row],[Асфальт]]&gt;0,Таблица1[[#This Row],[Бетон]]&gt;0)</f>
        <v>0</v>
      </c>
      <c r="O33" s="8">
        <v>1</v>
      </c>
      <c r="P33" s="8">
        <v>1</v>
      </c>
      <c r="Q33" s="8">
        <v>32</v>
      </c>
      <c r="S33" s="228"/>
      <c r="T33" s="228"/>
    </row>
    <row r="34" spans="1:20" ht="46.5" x14ac:dyDescent="0.35">
      <c r="A34" s="9">
        <v>33</v>
      </c>
      <c r="B34" s="9" t="s">
        <v>67</v>
      </c>
      <c r="C34" s="9" t="s">
        <v>530</v>
      </c>
      <c r="D34" s="9" t="s">
        <v>542</v>
      </c>
      <c r="E34" s="9">
        <f>Таблица1[[#This Row],[Грунт]]+Таблица1[[#This Row],[Щебень]]+Таблица1[[#This Row],[Асфальт]]+Таблица1[[#This Row],[Бетон]]</f>
        <v>2</v>
      </c>
      <c r="F34" s="104"/>
      <c r="G34" s="105"/>
      <c r="H34" s="106">
        <v>2</v>
      </c>
      <c r="I34" s="107"/>
      <c r="J34" s="165"/>
      <c r="K34" s="8" t="s">
        <v>557</v>
      </c>
      <c r="N34" s="8" t="b">
        <f>OR(Таблица1[[#This Row],[Щебень]]&gt;0,Таблица1[[#This Row],[Асфальт]]&gt;0,Таблица1[[#This Row],[Бетон]]&gt;0)</f>
        <v>1</v>
      </c>
      <c r="O34" s="8">
        <v>1</v>
      </c>
      <c r="P34" s="8">
        <v>1</v>
      </c>
      <c r="Q34" s="8">
        <v>33</v>
      </c>
      <c r="S34" s="228"/>
      <c r="T34" s="228"/>
    </row>
    <row r="35" spans="1:20" x14ac:dyDescent="0.35">
      <c r="A35" s="9">
        <v>34</v>
      </c>
      <c r="B35" s="9" t="s">
        <v>68</v>
      </c>
      <c r="C35" s="9" t="s">
        <v>69</v>
      </c>
      <c r="D35" s="9" t="s">
        <v>542</v>
      </c>
      <c r="E35" s="9">
        <f>Таблица1[[#This Row],[Грунт]]+Таблица1[[#This Row],[Щебень]]+Таблица1[[#This Row],[Асфальт]]+Таблица1[[#This Row],[Бетон]]</f>
        <v>1.8</v>
      </c>
      <c r="F35" s="104"/>
      <c r="G35" s="105"/>
      <c r="H35" s="106">
        <v>1.8</v>
      </c>
      <c r="I35" s="107"/>
      <c r="J35" s="165"/>
      <c r="K35" s="10" t="s">
        <v>557</v>
      </c>
      <c r="N35" s="8" t="b">
        <f>OR(Таблица1[[#This Row],[Щебень]]&gt;0,Таблица1[[#This Row],[Асфальт]]&gt;0,Таблица1[[#This Row],[Бетон]]&gt;0)</f>
        <v>1</v>
      </c>
      <c r="O35" s="8">
        <v>1</v>
      </c>
      <c r="P35" s="8">
        <v>1</v>
      </c>
      <c r="Q35" s="8">
        <v>34</v>
      </c>
      <c r="S35" s="228"/>
      <c r="T35" s="228"/>
    </row>
    <row r="36" spans="1:20" ht="46.5" x14ac:dyDescent="0.35">
      <c r="A36" s="9">
        <v>35</v>
      </c>
      <c r="B36" s="9" t="s">
        <v>70</v>
      </c>
      <c r="C36" s="9" t="s">
        <v>531</v>
      </c>
      <c r="D36" s="9" t="s">
        <v>542</v>
      </c>
      <c r="E36" s="9">
        <f>Таблица1[[#This Row],[Грунт]]+Таблица1[[#This Row],[Щебень]]+Таблица1[[#This Row],[Асфальт]]+Таблица1[[#This Row],[Бетон]]</f>
        <v>1</v>
      </c>
      <c r="F36" s="104">
        <v>1</v>
      </c>
      <c r="G36" s="105"/>
      <c r="H36" s="106"/>
      <c r="I36" s="107"/>
      <c r="J36" s="165"/>
      <c r="N36" s="8" t="b">
        <f>OR(Таблица1[[#This Row],[Щебень]]&gt;0,Таблица1[[#This Row],[Асфальт]]&gt;0,Таблица1[[#This Row],[Бетон]]&gt;0)</f>
        <v>0</v>
      </c>
      <c r="Q36" s="8">
        <v>35</v>
      </c>
      <c r="S36" s="228"/>
      <c r="T36" s="228"/>
    </row>
    <row r="37" spans="1:20" x14ac:dyDescent="0.35">
      <c r="A37" s="9">
        <v>36</v>
      </c>
      <c r="B37" s="9" t="s">
        <v>71</v>
      </c>
      <c r="C37" s="9" t="s">
        <v>72</v>
      </c>
      <c r="D37" s="9" t="s">
        <v>542</v>
      </c>
      <c r="E37" s="9">
        <f>Таблица1[[#This Row],[Грунт]]+Таблица1[[#This Row],[Щебень]]+Таблица1[[#This Row],[Асфальт]]+Таблица1[[#This Row],[Бетон]]</f>
        <v>1</v>
      </c>
      <c r="F37" s="104">
        <v>1</v>
      </c>
      <c r="G37" s="105"/>
      <c r="H37" s="106"/>
      <c r="I37" s="107"/>
      <c r="J37" s="165"/>
      <c r="N37" s="8" t="b">
        <f>OR(Таблица1[[#This Row],[Щебень]]&gt;0,Таблица1[[#This Row],[Асфальт]]&gt;0,Таблица1[[#This Row],[Бетон]]&gt;0)</f>
        <v>0</v>
      </c>
      <c r="Q37" s="8">
        <v>36</v>
      </c>
      <c r="S37" s="228"/>
      <c r="T37" s="228"/>
    </row>
    <row r="38" spans="1:20" x14ac:dyDescent="0.35">
      <c r="A38" s="9">
        <v>37</v>
      </c>
      <c r="B38" s="9" t="s">
        <v>73</v>
      </c>
      <c r="C38" s="9" t="s">
        <v>74</v>
      </c>
      <c r="D38" s="9" t="s">
        <v>546</v>
      </c>
      <c r="E38" s="9">
        <f>Таблица1[[#This Row],[Грунт]]+Таблица1[[#This Row],[Щебень]]+Таблица1[[#This Row],[Асфальт]]+Таблица1[[#This Row],[Бетон]]</f>
        <v>2</v>
      </c>
      <c r="F38" s="104">
        <v>2</v>
      </c>
      <c r="G38" s="105"/>
      <c r="H38" s="106"/>
      <c r="I38" s="107"/>
      <c r="J38" s="165"/>
      <c r="K38" s="8" t="s">
        <v>558</v>
      </c>
      <c r="N38" s="8" t="b">
        <f>OR(Таблица1[[#This Row],[Щебень]]&gt;0,Таблица1[[#This Row],[Асфальт]]&gt;0,Таблица1[[#This Row],[Бетон]]&gt;0)</f>
        <v>0</v>
      </c>
      <c r="Q38" s="8">
        <v>37</v>
      </c>
      <c r="S38" s="228"/>
      <c r="T38" s="228"/>
    </row>
    <row r="39" spans="1:20" ht="46.5" customHeight="1" x14ac:dyDescent="0.35">
      <c r="A39" s="9">
        <v>38</v>
      </c>
      <c r="B39" s="9" t="s">
        <v>75</v>
      </c>
      <c r="C39" s="9" t="s">
        <v>76</v>
      </c>
      <c r="D39" s="9" t="s">
        <v>548</v>
      </c>
      <c r="E39" s="9">
        <f>Таблица1[[#This Row],[Грунт]]+Таблица1[[#This Row],[Щебень]]+Таблица1[[#This Row],[Асфальт]]+Таблица1[[#This Row],[Бетон]]</f>
        <v>3</v>
      </c>
      <c r="F39" s="104">
        <v>3</v>
      </c>
      <c r="G39" s="105"/>
      <c r="H39" s="106"/>
      <c r="I39" s="107"/>
      <c r="J39" s="165"/>
      <c r="N39" s="8" t="b">
        <f>OR(Таблица1[[#This Row],[Щебень]]&gt;0,Таблица1[[#This Row],[Асфальт]]&gt;0,Таблица1[[#This Row],[Бетон]]&gt;0)</f>
        <v>0</v>
      </c>
      <c r="Q39" s="8">
        <v>38</v>
      </c>
      <c r="S39" s="228"/>
      <c r="T39" s="228"/>
    </row>
    <row r="40" spans="1:20" ht="33.75" customHeight="1" x14ac:dyDescent="0.35">
      <c r="A40" s="9">
        <v>39</v>
      </c>
      <c r="B40" s="9" t="s">
        <v>77</v>
      </c>
      <c r="C40" s="9" t="s">
        <v>78</v>
      </c>
      <c r="D40" s="9" t="s">
        <v>546</v>
      </c>
      <c r="E40" s="9">
        <f>Таблица1[[#This Row],[Грунт]]+Таблица1[[#This Row],[Щебень]]+Таблица1[[#This Row],[Асфальт]]+Таблица1[[#This Row],[Бетон]]</f>
        <v>5</v>
      </c>
      <c r="F40" s="104"/>
      <c r="G40" s="105"/>
      <c r="H40" s="106">
        <v>5</v>
      </c>
      <c r="I40" s="107"/>
      <c r="J40" s="165"/>
      <c r="K40" s="10" t="s">
        <v>557</v>
      </c>
      <c r="N40" s="8" t="b">
        <f>OR(Таблица1[[#This Row],[Щебень]]&gt;0,Таблица1[[#This Row],[Асфальт]]&gt;0,Таблица1[[#This Row],[Бетон]]&gt;0)</f>
        <v>1</v>
      </c>
      <c r="O40" s="8">
        <v>1</v>
      </c>
      <c r="P40" s="8">
        <v>1</v>
      </c>
      <c r="Q40" s="8">
        <v>39</v>
      </c>
      <c r="S40" s="228"/>
      <c r="T40" s="228"/>
    </row>
    <row r="41" spans="1:20" ht="46.5" x14ac:dyDescent="0.35">
      <c r="A41" s="9">
        <v>40</v>
      </c>
      <c r="B41" s="9" t="s">
        <v>79</v>
      </c>
      <c r="C41" s="9" t="s">
        <v>532</v>
      </c>
      <c r="D41" s="9" t="s">
        <v>546</v>
      </c>
      <c r="E41" s="9">
        <f>Таблица1[[#This Row],[Грунт]]+Таблица1[[#This Row],[Щебень]]+Таблица1[[#This Row],[Асфальт]]+Таблица1[[#This Row],[Бетон]]</f>
        <v>3</v>
      </c>
      <c r="F41" s="104">
        <v>3</v>
      </c>
      <c r="G41" s="105"/>
      <c r="H41" s="106"/>
      <c r="I41" s="107"/>
      <c r="J41" s="165"/>
      <c r="N41" s="8" t="b">
        <f>OR(Таблица1[[#This Row],[Щебень]]&gt;0,Таблица1[[#This Row],[Асфальт]]&gt;0,Таблица1[[#This Row],[Бетон]]&gt;0)</f>
        <v>0</v>
      </c>
      <c r="Q41" s="8">
        <v>40</v>
      </c>
      <c r="S41" s="228"/>
      <c r="T41" s="228"/>
    </row>
    <row r="42" spans="1:20" x14ac:dyDescent="0.35">
      <c r="A42" s="9">
        <v>41</v>
      </c>
      <c r="B42" s="9" t="s">
        <v>80</v>
      </c>
      <c r="C42" s="9" t="s">
        <v>81</v>
      </c>
      <c r="D42" s="9" t="s">
        <v>546</v>
      </c>
      <c r="E42" s="9">
        <f>Таблица1[[#This Row],[Грунт]]+Таблица1[[#This Row],[Щебень]]+Таблица1[[#This Row],[Асфальт]]+Таблица1[[#This Row],[Бетон]]</f>
        <v>1.5</v>
      </c>
      <c r="F42" s="104"/>
      <c r="G42" s="105"/>
      <c r="H42" s="106">
        <v>1.5</v>
      </c>
      <c r="I42" s="107"/>
      <c r="J42" s="165"/>
      <c r="K42" s="10" t="s">
        <v>557</v>
      </c>
      <c r="N42" s="8" t="b">
        <f>OR(Таблица1[[#This Row],[Щебень]]&gt;0,Таблица1[[#This Row],[Асфальт]]&gt;0,Таблица1[[#This Row],[Бетон]]&gt;0)</f>
        <v>1</v>
      </c>
      <c r="Q42" s="8">
        <v>41</v>
      </c>
      <c r="S42" s="228"/>
      <c r="T42" s="228"/>
    </row>
    <row r="43" spans="1:20" ht="46.5" x14ac:dyDescent="0.35">
      <c r="A43" s="9">
        <v>42</v>
      </c>
      <c r="B43" s="9" t="s">
        <v>82</v>
      </c>
      <c r="C43" s="9" t="s">
        <v>83</v>
      </c>
      <c r="D43" s="9" t="s">
        <v>546</v>
      </c>
      <c r="E43" s="9">
        <f>Таблица1[[#This Row],[Грунт]]+Таблица1[[#This Row],[Щебень]]+Таблица1[[#This Row],[Асфальт]]+Таблица1[[#This Row],[Бетон]]</f>
        <v>4</v>
      </c>
      <c r="F43" s="104">
        <v>4</v>
      </c>
      <c r="G43" s="105"/>
      <c r="H43" s="106"/>
      <c r="I43" s="107"/>
      <c r="J43" s="165"/>
      <c r="N43" s="8" t="b">
        <f>OR(Таблица1[[#This Row],[Щебень]]&gt;0,Таблица1[[#This Row],[Асфальт]]&gt;0,Таблица1[[#This Row],[Бетон]]&gt;0)</f>
        <v>0</v>
      </c>
      <c r="Q43" s="8">
        <v>42</v>
      </c>
      <c r="S43" s="228"/>
      <c r="T43" s="228"/>
    </row>
    <row r="44" spans="1:20" x14ac:dyDescent="0.35">
      <c r="A44" s="9">
        <v>43</v>
      </c>
      <c r="B44" s="9" t="s">
        <v>84</v>
      </c>
      <c r="C44" s="9" t="s">
        <v>85</v>
      </c>
      <c r="D44" s="9" t="s">
        <v>546</v>
      </c>
      <c r="E44" s="9">
        <f>Таблица1[[#This Row],[Грунт]]+Таблица1[[#This Row],[Щебень]]+Таблица1[[#This Row],[Асфальт]]+Таблица1[[#This Row],[Бетон]]</f>
        <v>2</v>
      </c>
      <c r="F44" s="104">
        <v>2</v>
      </c>
      <c r="G44" s="105"/>
      <c r="H44" s="106"/>
      <c r="I44" s="107"/>
      <c r="J44" s="165"/>
      <c r="N44" s="8" t="b">
        <f>OR(Таблица1[[#This Row],[Щебень]]&gt;0,Таблица1[[#This Row],[Асфальт]]&gt;0,Таблица1[[#This Row],[Бетон]]&gt;0)</f>
        <v>0</v>
      </c>
      <c r="Q44" s="8">
        <v>43</v>
      </c>
      <c r="S44" s="228"/>
      <c r="T44" s="228"/>
    </row>
    <row r="45" spans="1:20" s="111" customFormat="1" x14ac:dyDescent="0.35">
      <c r="A45" s="108">
        <v>44</v>
      </c>
      <c r="B45" s="108" t="s">
        <v>86</v>
      </c>
      <c r="C45" s="108" t="s">
        <v>87</v>
      </c>
      <c r="D45" s="108" t="s">
        <v>546</v>
      </c>
      <c r="E45" s="9">
        <f>Таблица1[[#This Row],[Грунт]]+Таблица1[[#This Row],[Щебень]]+Таблица1[[#This Row],[Асфальт]]+Таблица1[[#This Row],[Бетон]]</f>
        <v>3.5</v>
      </c>
      <c r="F45" s="109">
        <v>0</v>
      </c>
      <c r="G45" s="109"/>
      <c r="H45" s="109">
        <v>3.5</v>
      </c>
      <c r="I45" s="109"/>
      <c r="J45" s="165"/>
      <c r="K45" s="110" t="s">
        <v>557</v>
      </c>
      <c r="N45" s="111" t="b">
        <f>OR(Таблица1[[#This Row],[Щебень]]&gt;0,Таблица1[[#This Row],[Асфальт]]&gt;0,Таблица1[[#This Row],[Бетон]]&gt;0)</f>
        <v>1</v>
      </c>
      <c r="O45" s="8">
        <v>1</v>
      </c>
      <c r="P45" s="8">
        <v>1</v>
      </c>
      <c r="Q45" s="8">
        <v>44</v>
      </c>
      <c r="R45" s="8"/>
      <c r="S45" s="228"/>
      <c r="T45" s="228"/>
    </row>
    <row r="46" spans="1:20" x14ac:dyDescent="0.35">
      <c r="A46" s="9">
        <v>45</v>
      </c>
      <c r="B46" s="9" t="s">
        <v>88</v>
      </c>
      <c r="C46" s="9" t="s">
        <v>89</v>
      </c>
      <c r="D46" s="9" t="s">
        <v>550</v>
      </c>
      <c r="E46" s="9">
        <f>Таблица1[[#This Row],[Грунт]]+Таблица1[[#This Row],[Щебень]]+Таблица1[[#This Row],[Асфальт]]+Таблица1[[#This Row],[Бетон]]</f>
        <v>0.4</v>
      </c>
      <c r="F46" s="104">
        <v>0.4</v>
      </c>
      <c r="G46" s="105"/>
      <c r="H46" s="106"/>
      <c r="I46" s="107"/>
      <c r="J46" s="165"/>
      <c r="N46" s="8" t="b">
        <f>OR(Таблица1[[#This Row],[Щебень]]&gt;0,Таблица1[[#This Row],[Асфальт]]&gt;0,Таблица1[[#This Row],[Бетон]]&gt;0)</f>
        <v>0</v>
      </c>
      <c r="Q46" s="8">
        <v>45</v>
      </c>
      <c r="S46" s="228"/>
      <c r="T46" s="228"/>
    </row>
    <row r="47" spans="1:20" x14ac:dyDescent="0.35">
      <c r="A47" s="9">
        <v>46</v>
      </c>
      <c r="B47" s="9" t="s">
        <v>90</v>
      </c>
      <c r="C47" s="9" t="s">
        <v>91</v>
      </c>
      <c r="D47" s="9" t="s">
        <v>550</v>
      </c>
      <c r="E47" s="9">
        <f>Таблица1[[#This Row],[Грунт]]+Таблица1[[#This Row],[Щебень]]+Таблица1[[#This Row],[Асфальт]]+Таблица1[[#This Row],[Бетон]]</f>
        <v>0.65</v>
      </c>
      <c r="F47" s="104"/>
      <c r="G47" s="105"/>
      <c r="H47" s="106">
        <v>0.65</v>
      </c>
      <c r="I47" s="107"/>
      <c r="J47" s="165"/>
      <c r="K47" s="8" t="s">
        <v>558</v>
      </c>
      <c r="N47" s="8" t="b">
        <f>OR(Таблица1[[#This Row],[Щебень]]&gt;0,Таблица1[[#This Row],[Асфальт]]&gt;0,Таблица1[[#This Row],[Бетон]]&gt;0)</f>
        <v>1</v>
      </c>
      <c r="O47" s="8">
        <v>1</v>
      </c>
      <c r="P47" s="8">
        <v>1</v>
      </c>
      <c r="Q47" s="8">
        <v>46</v>
      </c>
      <c r="S47" s="228"/>
      <c r="T47" s="228"/>
    </row>
    <row r="48" spans="1:20" x14ac:dyDescent="0.35">
      <c r="A48" s="9">
        <v>47</v>
      </c>
      <c r="B48" s="9" t="s">
        <v>92</v>
      </c>
      <c r="C48" s="9" t="s">
        <v>93</v>
      </c>
      <c r="D48" s="9" t="s">
        <v>539</v>
      </c>
      <c r="E48" s="9">
        <f>Таблица1[[#This Row],[Грунт]]+Таблица1[[#This Row],[Щебень]]+Таблица1[[#This Row],[Асфальт]]+Таблица1[[#This Row],[Бетон]]</f>
        <v>5</v>
      </c>
      <c r="F48" s="104">
        <v>5</v>
      </c>
      <c r="G48" s="105"/>
      <c r="H48" s="106"/>
      <c r="I48" s="107"/>
      <c r="J48" s="165"/>
      <c r="N48" s="8" t="b">
        <f>OR(Таблица1[[#This Row],[Щебень]]&gt;0,Таблица1[[#This Row],[Асфальт]]&gt;0,Таблица1[[#This Row],[Бетон]]&gt;0)</f>
        <v>0</v>
      </c>
      <c r="Q48" s="8">
        <v>47</v>
      </c>
      <c r="S48" s="228"/>
      <c r="T48" s="228"/>
    </row>
    <row r="49" spans="1:20" x14ac:dyDescent="0.35">
      <c r="A49" s="9">
        <v>48</v>
      </c>
      <c r="B49" s="9" t="s">
        <v>94</v>
      </c>
      <c r="C49" s="9" t="s">
        <v>95</v>
      </c>
      <c r="D49" s="9" t="s">
        <v>539</v>
      </c>
      <c r="E49" s="9">
        <f>Таблица1[[#This Row],[Грунт]]+Таблица1[[#This Row],[Щебень]]+Таблица1[[#This Row],[Асфальт]]+Таблица1[[#This Row],[Бетон]]</f>
        <v>4</v>
      </c>
      <c r="F49" s="104">
        <v>4</v>
      </c>
      <c r="G49" s="105"/>
      <c r="H49" s="106"/>
      <c r="I49" s="107"/>
      <c r="J49" s="165"/>
      <c r="K49" s="10" t="s">
        <v>557</v>
      </c>
      <c r="N49" s="8" t="b">
        <f>OR(Таблица1[[#This Row],[Щебень]]&gt;0,Таблица1[[#This Row],[Асфальт]]&gt;0,Таблица1[[#This Row],[Бетон]]&gt;0)</f>
        <v>0</v>
      </c>
      <c r="Q49" s="8">
        <v>48</v>
      </c>
      <c r="S49" s="228"/>
      <c r="T49" s="228"/>
    </row>
    <row r="50" spans="1:20" x14ac:dyDescent="0.35">
      <c r="A50" s="9">
        <v>49</v>
      </c>
      <c r="B50" s="9" t="s">
        <v>96</v>
      </c>
      <c r="C50" s="9" t="s">
        <v>97</v>
      </c>
      <c r="D50" s="9" t="s">
        <v>539</v>
      </c>
      <c r="E50" s="9">
        <f>Таблица1[[#This Row],[Грунт]]+Таблица1[[#This Row],[Щебень]]+Таблица1[[#This Row],[Асфальт]]+Таблица1[[#This Row],[Бетон]]</f>
        <v>4</v>
      </c>
      <c r="F50" s="104">
        <v>4</v>
      </c>
      <c r="G50" s="105"/>
      <c r="H50" s="106"/>
      <c r="I50" s="107"/>
      <c r="J50" s="165"/>
      <c r="N50" s="8" t="b">
        <f>OR(Таблица1[[#This Row],[Щебень]]&gt;0,Таблица1[[#This Row],[Асфальт]]&gt;0,Таблица1[[#This Row],[Бетон]]&gt;0)</f>
        <v>0</v>
      </c>
      <c r="Q50" s="8">
        <v>49</v>
      </c>
      <c r="S50" s="228"/>
      <c r="T50" s="228"/>
    </row>
    <row r="51" spans="1:20" ht="2.25" customHeight="1" x14ac:dyDescent="0.35">
      <c r="A51" s="9">
        <v>50</v>
      </c>
      <c r="B51" s="9" t="s">
        <v>98</v>
      </c>
      <c r="C51" s="9" t="s">
        <v>99</v>
      </c>
      <c r="D51" s="9" t="s">
        <v>539</v>
      </c>
      <c r="E51" s="9">
        <f>Таблица1[[#This Row],[Грунт]]+Таблица1[[#This Row],[Щебень]]+Таблица1[[#This Row],[Асфальт]]+Таблица1[[#This Row],[Бетон]]</f>
        <v>2</v>
      </c>
      <c r="F51" s="104">
        <v>2</v>
      </c>
      <c r="G51" s="105"/>
      <c r="H51" s="106"/>
      <c r="I51" s="107"/>
      <c r="J51" s="165"/>
      <c r="N51" s="8" t="b">
        <f>OR(Таблица1[[#This Row],[Щебень]]&gt;0,Таблица1[[#This Row],[Асфальт]]&gt;0,Таблица1[[#This Row],[Бетон]]&gt;0)</f>
        <v>0</v>
      </c>
      <c r="Q51" s="8">
        <v>50</v>
      </c>
      <c r="S51" s="228"/>
      <c r="T51" s="228"/>
    </row>
    <row r="52" spans="1:20" x14ac:dyDescent="0.35">
      <c r="A52" s="9">
        <v>51</v>
      </c>
      <c r="B52" s="9" t="s">
        <v>100</v>
      </c>
      <c r="C52" s="9" t="s">
        <v>101</v>
      </c>
      <c r="D52" s="9" t="s">
        <v>539</v>
      </c>
      <c r="E52" s="9">
        <f>Таблица1[[#This Row],[Грунт]]+Таблица1[[#This Row],[Щебень]]+Таблица1[[#This Row],[Асфальт]]+Таблица1[[#This Row],[Бетон]]</f>
        <v>2</v>
      </c>
      <c r="F52" s="104">
        <v>2</v>
      </c>
      <c r="G52" s="105"/>
      <c r="H52" s="106"/>
      <c r="I52" s="107"/>
      <c r="J52" s="165"/>
      <c r="N52" s="8" t="b">
        <f>OR(Таблица1[[#This Row],[Щебень]]&gt;0,Таблица1[[#This Row],[Асфальт]]&gt;0,Таблица1[[#This Row],[Бетон]]&gt;0)</f>
        <v>0</v>
      </c>
      <c r="Q52" s="8">
        <v>51</v>
      </c>
      <c r="S52" s="228"/>
      <c r="T52" s="228"/>
    </row>
    <row r="53" spans="1:20" x14ac:dyDescent="0.35">
      <c r="A53" s="9">
        <v>52</v>
      </c>
      <c r="B53" s="9" t="s">
        <v>102</v>
      </c>
      <c r="C53" s="9" t="s">
        <v>103</v>
      </c>
      <c r="D53" s="9" t="s">
        <v>539</v>
      </c>
      <c r="E53" s="9">
        <f>Таблица1[[#This Row],[Грунт]]+Таблица1[[#This Row],[Щебень]]+Таблица1[[#This Row],[Асфальт]]+Таблица1[[#This Row],[Бетон]]</f>
        <v>3</v>
      </c>
      <c r="F53" s="104">
        <v>3</v>
      </c>
      <c r="G53" s="105"/>
      <c r="H53" s="106"/>
      <c r="I53" s="107"/>
      <c r="J53" s="165"/>
      <c r="N53" s="8" t="b">
        <f>OR(Таблица1[[#This Row],[Щебень]]&gt;0,Таблица1[[#This Row],[Асфальт]]&gt;0,Таблица1[[#This Row],[Бетон]]&gt;0)</f>
        <v>0</v>
      </c>
      <c r="Q53" s="8">
        <v>52</v>
      </c>
      <c r="S53" s="228"/>
      <c r="T53" s="228"/>
    </row>
    <row r="54" spans="1:20" x14ac:dyDescent="0.35">
      <c r="A54" s="9">
        <v>53</v>
      </c>
      <c r="B54" s="9" t="s">
        <v>104</v>
      </c>
      <c r="C54" s="9" t="s">
        <v>105</v>
      </c>
      <c r="D54" s="9" t="s">
        <v>539</v>
      </c>
      <c r="E54" s="9">
        <f>Таблица1[[#This Row],[Грунт]]+Таблица1[[#This Row],[Щебень]]+Таблица1[[#This Row],[Асфальт]]+Таблица1[[#This Row],[Бетон]]</f>
        <v>2</v>
      </c>
      <c r="F54" s="104">
        <v>2</v>
      </c>
      <c r="G54" s="105"/>
      <c r="H54" s="106"/>
      <c r="I54" s="107"/>
      <c r="J54" s="165"/>
      <c r="N54" s="8" t="b">
        <f>OR(Таблица1[[#This Row],[Щебень]]&gt;0,Таблица1[[#This Row],[Асфальт]]&gt;0,Таблица1[[#This Row],[Бетон]]&gt;0)</f>
        <v>0</v>
      </c>
      <c r="Q54" s="8">
        <v>53</v>
      </c>
      <c r="S54" s="228"/>
      <c r="T54" s="228"/>
    </row>
    <row r="55" spans="1:20" x14ac:dyDescent="0.35">
      <c r="A55" s="9">
        <v>54</v>
      </c>
      <c r="B55" s="9" t="s">
        <v>106</v>
      </c>
      <c r="C55" s="9" t="s">
        <v>107</v>
      </c>
      <c r="D55" s="9" t="s">
        <v>539</v>
      </c>
      <c r="E55" s="9">
        <f>Таблица1[[#This Row],[Грунт]]+Таблица1[[#This Row],[Щебень]]+Таблица1[[#This Row],[Асфальт]]+Таблица1[[#This Row],[Бетон]]</f>
        <v>2</v>
      </c>
      <c r="F55" s="104">
        <v>2</v>
      </c>
      <c r="G55" s="105"/>
      <c r="H55" s="106"/>
      <c r="I55" s="107"/>
      <c r="J55" s="165"/>
      <c r="N55" s="8" t="b">
        <f>OR(Таблица1[[#This Row],[Щебень]]&gt;0,Таблица1[[#This Row],[Асфальт]]&gt;0,Таблица1[[#This Row],[Бетон]]&gt;0)</f>
        <v>0</v>
      </c>
      <c r="Q55" s="8">
        <v>54</v>
      </c>
      <c r="S55" s="228"/>
      <c r="T55" s="228"/>
    </row>
    <row r="56" spans="1:20" x14ac:dyDescent="0.35">
      <c r="A56" s="9">
        <v>55</v>
      </c>
      <c r="B56" s="9" t="s">
        <v>108</v>
      </c>
      <c r="C56" s="9" t="s">
        <v>109</v>
      </c>
      <c r="D56" s="9" t="s">
        <v>539</v>
      </c>
      <c r="E56" s="9">
        <f>Таблица1[[#This Row],[Грунт]]+Таблица1[[#This Row],[Щебень]]+Таблица1[[#This Row],[Асфальт]]+Таблица1[[#This Row],[Бетон]]</f>
        <v>2</v>
      </c>
      <c r="F56" s="104">
        <v>2</v>
      </c>
      <c r="G56" s="105"/>
      <c r="H56" s="106"/>
      <c r="I56" s="107"/>
      <c r="J56" s="165"/>
      <c r="N56" s="8" t="b">
        <f>OR(Таблица1[[#This Row],[Щебень]]&gt;0,Таблица1[[#This Row],[Асфальт]]&gt;0,Таблица1[[#This Row],[Бетон]]&gt;0)</f>
        <v>0</v>
      </c>
      <c r="Q56" s="8">
        <v>55</v>
      </c>
      <c r="S56" s="228"/>
      <c r="T56" s="228"/>
    </row>
    <row r="57" spans="1:20" x14ac:dyDescent="0.35">
      <c r="A57" s="9">
        <v>56</v>
      </c>
      <c r="B57" s="9" t="s">
        <v>110</v>
      </c>
      <c r="C57" s="9" t="s">
        <v>111</v>
      </c>
      <c r="D57" s="9" t="s">
        <v>539</v>
      </c>
      <c r="E57" s="9">
        <f>Таблица1[[#This Row],[Грунт]]+Таблица1[[#This Row],[Щебень]]+Таблица1[[#This Row],[Асфальт]]+Таблица1[[#This Row],[Бетон]]</f>
        <v>2</v>
      </c>
      <c r="F57" s="104">
        <v>2</v>
      </c>
      <c r="G57" s="105"/>
      <c r="H57" s="106"/>
      <c r="I57" s="107"/>
      <c r="J57" s="165"/>
      <c r="N57" s="8" t="b">
        <f>OR(Таблица1[[#This Row],[Щебень]]&gt;0,Таблица1[[#This Row],[Асфальт]]&gt;0,Таблица1[[#This Row],[Бетон]]&gt;0)</f>
        <v>0</v>
      </c>
      <c r="Q57" s="8">
        <v>56</v>
      </c>
      <c r="S57" s="228"/>
      <c r="T57" s="228"/>
    </row>
    <row r="58" spans="1:20" x14ac:dyDescent="0.35">
      <c r="A58" s="9">
        <v>57</v>
      </c>
      <c r="B58" s="9" t="s">
        <v>112</v>
      </c>
      <c r="C58" s="9" t="s">
        <v>113</v>
      </c>
      <c r="D58" s="9" t="s">
        <v>539</v>
      </c>
      <c r="E58" s="9">
        <f>Таблица1[[#This Row],[Грунт]]+Таблица1[[#This Row],[Щебень]]+Таблица1[[#This Row],[Асфальт]]+Таблица1[[#This Row],[Бетон]]</f>
        <v>2</v>
      </c>
      <c r="F58" s="104"/>
      <c r="G58" s="105">
        <v>2</v>
      </c>
      <c r="H58" s="106"/>
      <c r="I58" s="107"/>
      <c r="J58" s="165"/>
      <c r="N58" s="8" t="b">
        <f>OR(Таблица1[[#This Row],[Щебень]]&gt;0,Таблица1[[#This Row],[Асфальт]]&gt;0,Таблица1[[#This Row],[Бетон]]&gt;0)</f>
        <v>1</v>
      </c>
      <c r="Q58" s="8">
        <v>57</v>
      </c>
      <c r="S58" s="228"/>
      <c r="T58" s="228"/>
    </row>
    <row r="59" spans="1:20" ht="46.5" x14ac:dyDescent="0.35">
      <c r="A59" s="9">
        <v>58</v>
      </c>
      <c r="B59" s="9" t="s">
        <v>114</v>
      </c>
      <c r="C59" s="9" t="s">
        <v>533</v>
      </c>
      <c r="D59" s="9" t="s">
        <v>539</v>
      </c>
      <c r="E59" s="9">
        <f>Таблица1[[#This Row],[Грунт]]+Таблица1[[#This Row],[Щебень]]+Таблица1[[#This Row],[Асфальт]]+Таблица1[[#This Row],[Бетон]]</f>
        <v>4</v>
      </c>
      <c r="F59" s="104">
        <v>1.5</v>
      </c>
      <c r="G59" s="105">
        <v>2.5</v>
      </c>
      <c r="H59" s="106"/>
      <c r="I59" s="107"/>
      <c r="J59" s="165"/>
      <c r="K59" s="10" t="s">
        <v>557</v>
      </c>
      <c r="N59" s="8" t="b">
        <f>OR(Таблица1[[#This Row],[Щебень]]&gt;0,Таблица1[[#This Row],[Асфальт]]&gt;0,Таблица1[[#This Row],[Бетон]]&gt;0)</f>
        <v>1</v>
      </c>
      <c r="O59" s="8">
        <v>1</v>
      </c>
      <c r="P59" s="8">
        <v>1</v>
      </c>
      <c r="Q59" s="8">
        <v>58</v>
      </c>
      <c r="S59" s="228"/>
      <c r="T59" s="228"/>
    </row>
    <row r="60" spans="1:20" x14ac:dyDescent="0.35">
      <c r="A60" s="9">
        <v>59</v>
      </c>
      <c r="B60" s="9" t="s">
        <v>115</v>
      </c>
      <c r="C60" s="9" t="s">
        <v>116</v>
      </c>
      <c r="D60" s="9" t="s">
        <v>539</v>
      </c>
      <c r="E60" s="9">
        <f>Таблица1[[#This Row],[Грунт]]+Таблица1[[#This Row],[Щебень]]+Таблица1[[#This Row],[Асфальт]]+Таблица1[[#This Row],[Бетон]]</f>
        <v>2</v>
      </c>
      <c r="F60" s="104">
        <v>2</v>
      </c>
      <c r="G60" s="105"/>
      <c r="H60" s="106"/>
      <c r="I60" s="107"/>
      <c r="J60" s="165"/>
      <c r="N60" s="8" t="b">
        <f>OR(Таблица1[[#This Row],[Щебень]]&gt;0,Таблица1[[#This Row],[Асфальт]]&gt;0,Таблица1[[#This Row],[Бетон]]&gt;0)</f>
        <v>0</v>
      </c>
      <c r="Q60" s="8">
        <v>59</v>
      </c>
      <c r="S60" s="228"/>
      <c r="T60" s="228"/>
    </row>
    <row r="61" spans="1:20" ht="46.5" x14ac:dyDescent="0.35">
      <c r="A61" s="9">
        <v>60</v>
      </c>
      <c r="B61" s="9" t="s">
        <v>117</v>
      </c>
      <c r="C61" s="9" t="s">
        <v>118</v>
      </c>
      <c r="D61" s="9" t="s">
        <v>548</v>
      </c>
      <c r="E61" s="9">
        <f>Таблица1[[#This Row],[Грунт]]+Таблица1[[#This Row],[Щебень]]+Таблица1[[#This Row],[Асфальт]]+Таблица1[[#This Row],[Бетон]]</f>
        <v>3</v>
      </c>
      <c r="F61" s="104"/>
      <c r="G61" s="105"/>
      <c r="H61" s="106">
        <v>3</v>
      </c>
      <c r="I61" s="107"/>
      <c r="J61" s="165"/>
      <c r="N61" s="8" t="b">
        <f>OR(Таблица1[[#This Row],[Щебень]]&gt;0,Таблица1[[#This Row],[Асфальт]]&gt;0,Таблица1[[#This Row],[Бетон]]&gt;0)</f>
        <v>1</v>
      </c>
      <c r="O61" s="8">
        <v>1</v>
      </c>
      <c r="P61" s="8">
        <v>1</v>
      </c>
      <c r="Q61" s="8">
        <v>60</v>
      </c>
      <c r="S61" s="228"/>
      <c r="T61" s="228"/>
    </row>
    <row r="62" spans="1:20" ht="46.5" x14ac:dyDescent="0.35">
      <c r="A62" s="9">
        <v>61</v>
      </c>
      <c r="B62" s="9" t="s">
        <v>119</v>
      </c>
      <c r="C62" s="9" t="s">
        <v>120</v>
      </c>
      <c r="D62" s="9" t="s">
        <v>548</v>
      </c>
      <c r="E62" s="9">
        <f>Таблица1[[#This Row],[Грунт]]+Таблица1[[#This Row],[Щебень]]+Таблица1[[#This Row],[Асфальт]]+Таблица1[[#This Row],[Бетон]]</f>
        <v>2.5</v>
      </c>
      <c r="F62" s="104">
        <v>2.5</v>
      </c>
      <c r="G62" s="105"/>
      <c r="H62" s="106"/>
      <c r="I62" s="107"/>
      <c r="J62" s="165"/>
      <c r="N62" s="8" t="b">
        <f>OR(Таблица1[[#This Row],[Щебень]]&gt;0,Таблица1[[#This Row],[Асфальт]]&gt;0,Таблица1[[#This Row],[Бетон]]&gt;0)</f>
        <v>0</v>
      </c>
      <c r="Q62" s="8">
        <v>61</v>
      </c>
      <c r="S62" s="228"/>
      <c r="T62" s="228"/>
    </row>
    <row r="63" spans="1:20" ht="46.5" x14ac:dyDescent="0.35">
      <c r="A63" s="9">
        <v>62</v>
      </c>
      <c r="B63" s="9" t="s">
        <v>121</v>
      </c>
      <c r="C63" s="9" t="s">
        <v>122</v>
      </c>
      <c r="D63" s="9" t="s">
        <v>548</v>
      </c>
      <c r="E63" s="9">
        <f>Таблица1[[#This Row],[Грунт]]+Таблица1[[#This Row],[Щебень]]+Таблица1[[#This Row],[Асфальт]]+Таблица1[[#This Row],[Бетон]]</f>
        <v>1.5</v>
      </c>
      <c r="F63" s="104">
        <v>1.5</v>
      </c>
      <c r="G63" s="105"/>
      <c r="H63" s="106"/>
      <c r="I63" s="107"/>
      <c r="J63" s="165"/>
      <c r="N63" s="8" t="b">
        <f>OR(Таблица1[[#This Row],[Щебень]]&gt;0,Таблица1[[#This Row],[Асфальт]]&gt;0,Таблица1[[#This Row],[Бетон]]&gt;0)</f>
        <v>0</v>
      </c>
      <c r="Q63" s="8">
        <v>62</v>
      </c>
      <c r="S63" s="228"/>
      <c r="T63" s="228"/>
    </row>
    <row r="64" spans="1:20" x14ac:dyDescent="0.35">
      <c r="A64" s="9">
        <v>63</v>
      </c>
      <c r="B64" s="9" t="s">
        <v>123</v>
      </c>
      <c r="C64" s="9" t="s">
        <v>124</v>
      </c>
      <c r="D64" s="9" t="s">
        <v>545</v>
      </c>
      <c r="E64" s="9">
        <v>2.1</v>
      </c>
      <c r="F64" s="104"/>
      <c r="G64" s="105"/>
      <c r="H64" s="106">
        <v>2.1</v>
      </c>
      <c r="I64" s="107"/>
      <c r="J64" s="165"/>
      <c r="N64" s="8" t="b">
        <f>OR(Таблица1[[#This Row],[Щебень]]&gt;0,Таблица1[[#This Row],[Асфальт]]&gt;0,Таблица1[[#This Row],[Бетон]]&gt;0)</f>
        <v>1</v>
      </c>
      <c r="O64" s="8">
        <v>1</v>
      </c>
      <c r="P64" s="8">
        <v>1</v>
      </c>
      <c r="Q64" s="8">
        <v>63</v>
      </c>
      <c r="S64" s="228"/>
      <c r="T64" s="228"/>
    </row>
    <row r="65" spans="1:20" x14ac:dyDescent="0.35">
      <c r="A65" s="9">
        <v>64</v>
      </c>
      <c r="B65" s="9" t="s">
        <v>125</v>
      </c>
      <c r="C65" s="9" t="s">
        <v>126</v>
      </c>
      <c r="D65" s="9" t="s">
        <v>545</v>
      </c>
      <c r="E65" s="9">
        <f>Таблица1[[#This Row],[Грунт]]+Таблица1[[#This Row],[Щебень]]+Таблица1[[#This Row],[Асфальт]]+Таблица1[[#This Row],[Бетон]]</f>
        <v>3.5</v>
      </c>
      <c r="F65" s="104">
        <v>3.5</v>
      </c>
      <c r="G65" s="105"/>
      <c r="H65" s="106"/>
      <c r="I65" s="107"/>
      <c r="J65" s="165"/>
      <c r="N65" s="8" t="b">
        <f>OR(Таблица1[[#This Row],[Щебень]]&gt;0,Таблица1[[#This Row],[Асфальт]]&gt;0,Таблица1[[#This Row],[Бетон]]&gt;0)</f>
        <v>0</v>
      </c>
      <c r="Q65" s="8">
        <v>64</v>
      </c>
      <c r="S65" s="228"/>
      <c r="T65" s="228"/>
    </row>
    <row r="66" spans="1:20" x14ac:dyDescent="0.35">
      <c r="A66" s="9">
        <v>65</v>
      </c>
      <c r="B66" s="9" t="s">
        <v>127</v>
      </c>
      <c r="C66" s="9" t="s">
        <v>128</v>
      </c>
      <c r="D66" s="9" t="s">
        <v>545</v>
      </c>
      <c r="E66" s="9">
        <f>Таблица1[[#This Row],[Грунт]]+Таблица1[[#This Row],[Щебень]]+Таблица1[[#This Row],[Асфальт]]+Таблица1[[#This Row],[Бетон]]</f>
        <v>3</v>
      </c>
      <c r="F66" s="104">
        <v>3</v>
      </c>
      <c r="G66" s="105"/>
      <c r="H66" s="106"/>
      <c r="I66" s="107"/>
      <c r="J66" s="165"/>
      <c r="N66" s="8" t="b">
        <f>OR(Таблица1[[#This Row],[Щебень]]&gt;0,Таблица1[[#This Row],[Асфальт]]&gt;0,Таблица1[[#This Row],[Бетон]]&gt;0)</f>
        <v>0</v>
      </c>
      <c r="Q66" s="8">
        <v>65</v>
      </c>
      <c r="S66" s="228"/>
      <c r="T66" s="228"/>
    </row>
    <row r="67" spans="1:20" x14ac:dyDescent="0.35">
      <c r="A67" s="9">
        <v>66</v>
      </c>
      <c r="B67" s="9" t="s">
        <v>129</v>
      </c>
      <c r="C67" s="9" t="s">
        <v>130</v>
      </c>
      <c r="D67" s="9" t="s">
        <v>545</v>
      </c>
      <c r="E67" s="9">
        <f>Таблица1[[#This Row],[Грунт]]+Таблица1[[#This Row],[Щебень]]+Таблица1[[#This Row],[Асфальт]]+Таблица1[[#This Row],[Бетон]]</f>
        <v>2</v>
      </c>
      <c r="F67" s="104"/>
      <c r="G67" s="105">
        <v>2</v>
      </c>
      <c r="H67" s="106"/>
      <c r="I67" s="107"/>
      <c r="J67" s="165"/>
      <c r="N67" s="8" t="b">
        <f>OR(Таблица1[[#This Row],[Щебень]]&gt;0,Таблица1[[#This Row],[Асфальт]]&gt;0,Таблица1[[#This Row],[Бетон]]&gt;0)</f>
        <v>1</v>
      </c>
      <c r="Q67" s="8">
        <v>66</v>
      </c>
      <c r="S67" s="228"/>
      <c r="T67" s="228"/>
    </row>
    <row r="68" spans="1:20" x14ac:dyDescent="0.35">
      <c r="A68" s="9">
        <v>67</v>
      </c>
      <c r="B68" s="9" t="s">
        <v>131</v>
      </c>
      <c r="C68" s="9" t="s">
        <v>132</v>
      </c>
      <c r="D68" s="9" t="s">
        <v>545</v>
      </c>
      <c r="E68" s="9">
        <f>Таблица1[[#This Row],[Грунт]]+Таблица1[[#This Row],[Щебень]]+Таблица1[[#This Row],[Асфальт]]+Таблица1[[#This Row],[Бетон]]</f>
        <v>0.5</v>
      </c>
      <c r="F68" s="104"/>
      <c r="G68" s="105">
        <v>0.5</v>
      </c>
      <c r="H68" s="106"/>
      <c r="I68" s="107"/>
      <c r="J68" s="165"/>
      <c r="N68" s="8" t="b">
        <f>OR(Таблица1[[#This Row],[Щебень]]&gt;0,Таблица1[[#This Row],[Асфальт]]&gt;0,Таблица1[[#This Row],[Бетон]]&gt;0)</f>
        <v>1</v>
      </c>
      <c r="Q68" s="8">
        <v>67</v>
      </c>
      <c r="S68" s="228"/>
      <c r="T68" s="228"/>
    </row>
    <row r="69" spans="1:20" x14ac:dyDescent="0.35">
      <c r="A69" s="9">
        <v>68</v>
      </c>
      <c r="B69" s="9" t="s">
        <v>133</v>
      </c>
      <c r="C69" s="9" t="s">
        <v>134</v>
      </c>
      <c r="D69" s="9" t="s">
        <v>545</v>
      </c>
      <c r="E69" s="9">
        <f>Таблица1[[#This Row],[Грунт]]+Таблица1[[#This Row],[Щебень]]+Таблица1[[#This Row],[Асфальт]]+Таблица1[[#This Row],[Бетон]]</f>
        <v>4</v>
      </c>
      <c r="F69" s="104">
        <v>4</v>
      </c>
      <c r="G69" s="105"/>
      <c r="H69" s="106"/>
      <c r="I69" s="107"/>
      <c r="J69" s="165"/>
      <c r="N69" s="8" t="b">
        <f>OR(Таблица1[[#This Row],[Щебень]]&gt;0,Таблица1[[#This Row],[Асфальт]]&gt;0,Таблица1[[#This Row],[Бетон]]&gt;0)</f>
        <v>0</v>
      </c>
      <c r="Q69" s="8">
        <v>68</v>
      </c>
      <c r="S69" s="228"/>
      <c r="T69" s="228"/>
    </row>
    <row r="70" spans="1:20" x14ac:dyDescent="0.35">
      <c r="A70" s="9">
        <v>69</v>
      </c>
      <c r="B70" s="9" t="s">
        <v>135</v>
      </c>
      <c r="C70" s="9" t="s">
        <v>136</v>
      </c>
      <c r="D70" s="9" t="s">
        <v>545</v>
      </c>
      <c r="E70" s="9">
        <f>Таблица1[[#This Row],[Грунт]]+Таблица1[[#This Row],[Щебень]]+Таблица1[[#This Row],[Асфальт]]+Таблица1[[#This Row],[Бетон]]</f>
        <v>0.2</v>
      </c>
      <c r="F70" s="104">
        <v>0.2</v>
      </c>
      <c r="G70" s="105"/>
      <c r="H70" s="106"/>
      <c r="I70" s="107"/>
      <c r="J70" s="165"/>
      <c r="N70" s="8" t="b">
        <f>OR(Таблица1[[#This Row],[Щебень]]&gt;0,Таблица1[[#This Row],[Асфальт]]&gt;0,Таблица1[[#This Row],[Бетон]]&gt;0)</f>
        <v>0</v>
      </c>
      <c r="Q70" s="8">
        <v>69</v>
      </c>
      <c r="S70" s="228"/>
      <c r="T70" s="228"/>
    </row>
    <row r="71" spans="1:20" x14ac:dyDescent="0.35">
      <c r="A71" s="9">
        <v>70</v>
      </c>
      <c r="B71" s="9" t="s">
        <v>137</v>
      </c>
      <c r="C71" s="9" t="s">
        <v>138</v>
      </c>
      <c r="D71" s="9" t="s">
        <v>545</v>
      </c>
      <c r="E71" s="9">
        <f>Таблица1[[#This Row],[Грунт]]+Таблица1[[#This Row],[Щебень]]+Таблица1[[#This Row],[Асфальт]]+Таблица1[[#This Row],[Бетон]]</f>
        <v>1.5</v>
      </c>
      <c r="F71" s="104">
        <v>0</v>
      </c>
      <c r="G71" s="105">
        <v>1.5</v>
      </c>
      <c r="H71" s="106"/>
      <c r="I71" s="107"/>
      <c r="J71" s="165"/>
      <c r="N71" s="8" t="b">
        <f>OR(Таблица1[[#This Row],[Щебень]]&gt;0,Таблица1[[#This Row],[Асфальт]]&gt;0,Таблица1[[#This Row],[Бетон]]&gt;0)</f>
        <v>1</v>
      </c>
      <c r="Q71" s="8">
        <v>70</v>
      </c>
      <c r="S71" s="228"/>
      <c r="T71" s="228"/>
    </row>
    <row r="72" spans="1:20" x14ac:dyDescent="0.35">
      <c r="A72" s="9">
        <v>71</v>
      </c>
      <c r="B72" s="9" t="s">
        <v>139</v>
      </c>
      <c r="C72" s="9" t="s">
        <v>140</v>
      </c>
      <c r="D72" s="9" t="s">
        <v>545</v>
      </c>
      <c r="E72" s="9">
        <f>Таблица1[[#This Row],[Грунт]]+Таблица1[[#This Row],[Щебень]]+Таблица1[[#This Row],[Асфальт]]+Таблица1[[#This Row],[Бетон]]</f>
        <v>3</v>
      </c>
      <c r="F72" s="104">
        <v>3</v>
      </c>
      <c r="G72" s="105"/>
      <c r="H72" s="106"/>
      <c r="I72" s="107"/>
      <c r="J72" s="165"/>
      <c r="N72" s="8" t="b">
        <f>OR(Таблица1[[#This Row],[Щебень]]&gt;0,Таблица1[[#This Row],[Асфальт]]&gt;0,Таблица1[[#This Row],[Бетон]]&gt;0)</f>
        <v>0</v>
      </c>
      <c r="Q72" s="8">
        <v>71</v>
      </c>
      <c r="S72" s="228"/>
      <c r="T72" s="228"/>
    </row>
    <row r="73" spans="1:20" x14ac:dyDescent="0.35">
      <c r="A73" s="9">
        <v>72</v>
      </c>
      <c r="B73" s="9" t="s">
        <v>141</v>
      </c>
      <c r="C73" s="9" t="s">
        <v>142</v>
      </c>
      <c r="D73" s="9" t="s">
        <v>545</v>
      </c>
      <c r="E73" s="9">
        <f>Таблица1[[#This Row],[Грунт]]+Таблица1[[#This Row],[Щебень]]+Таблица1[[#This Row],[Асфальт]]+Таблица1[[#This Row],[Бетон]]</f>
        <v>2</v>
      </c>
      <c r="F73" s="104"/>
      <c r="G73" s="105"/>
      <c r="H73" s="106">
        <v>2</v>
      </c>
      <c r="I73" s="107"/>
      <c r="J73" s="165"/>
      <c r="K73" s="10" t="s">
        <v>557</v>
      </c>
      <c r="N73" s="8" t="b">
        <f>OR(Таблица1[[#This Row],[Щебень]]&gt;0,Таблица1[[#This Row],[Асфальт]]&gt;0,Таблица1[[#This Row],[Бетон]]&gt;0)</f>
        <v>1</v>
      </c>
      <c r="Q73" s="8">
        <v>72</v>
      </c>
      <c r="S73" s="228"/>
      <c r="T73" s="228"/>
    </row>
    <row r="74" spans="1:20" x14ac:dyDescent="0.35">
      <c r="A74" s="9">
        <v>73</v>
      </c>
      <c r="B74" s="9" t="s">
        <v>143</v>
      </c>
      <c r="C74" s="9" t="s">
        <v>144</v>
      </c>
      <c r="D74" s="9" t="s">
        <v>545</v>
      </c>
      <c r="E74" s="9">
        <f>Таблица1[[#This Row],[Грунт]]+Таблица1[[#This Row],[Щебень]]+Таблица1[[#This Row],[Асфальт]]+Таблица1[[#This Row],[Бетон]]</f>
        <v>1</v>
      </c>
      <c r="F74" s="104">
        <v>1</v>
      </c>
      <c r="G74" s="105"/>
      <c r="H74" s="106"/>
      <c r="I74" s="107"/>
      <c r="J74" s="165"/>
      <c r="N74" s="8" t="b">
        <f>OR(Таблица1[[#This Row],[Щебень]]&gt;0,Таблица1[[#This Row],[Асфальт]]&gt;0,Таблица1[[#This Row],[Бетон]]&gt;0)</f>
        <v>0</v>
      </c>
      <c r="Q74" s="8">
        <v>73</v>
      </c>
      <c r="S74" s="228"/>
      <c r="T74" s="228"/>
    </row>
    <row r="75" spans="1:20" s="111" customFormat="1" x14ac:dyDescent="0.35">
      <c r="A75" s="162">
        <v>74</v>
      </c>
      <c r="B75" s="162" t="s">
        <v>145</v>
      </c>
      <c r="C75" s="162" t="s">
        <v>146</v>
      </c>
      <c r="D75" s="162" t="s">
        <v>543</v>
      </c>
      <c r="E75" s="162">
        <f>Таблица1[[#This Row],[Грунт]]+Таблица1[[#This Row],[Щебень]]+Таблица1[[#This Row],[Асфальт]]+Таблица1[[#This Row],[Бетон]]</f>
        <v>1.5</v>
      </c>
      <c r="F75" s="104">
        <v>1.5</v>
      </c>
      <c r="G75" s="163"/>
      <c r="H75" s="106"/>
      <c r="I75" s="163"/>
      <c r="J75" s="165"/>
      <c r="K75" s="110" t="s">
        <v>557</v>
      </c>
      <c r="N75" s="111" t="b">
        <f>OR(Таблица1[[#This Row],[Щебень]]&gt;0,Таблица1[[#This Row],[Асфальт]]&gt;0,Таблица1[[#This Row],[Бетон]]&gt;0)</f>
        <v>0</v>
      </c>
      <c r="O75" s="8"/>
      <c r="P75" s="8"/>
      <c r="Q75" s="8">
        <v>74</v>
      </c>
      <c r="R75" s="8"/>
      <c r="S75" s="228"/>
      <c r="T75" s="228"/>
    </row>
    <row r="76" spans="1:20" x14ac:dyDescent="0.35">
      <c r="A76" s="9">
        <v>75</v>
      </c>
      <c r="B76" s="9" t="s">
        <v>147</v>
      </c>
      <c r="C76" s="9" t="s">
        <v>148</v>
      </c>
      <c r="D76" s="9" t="s">
        <v>543</v>
      </c>
      <c r="E76" s="9">
        <f>Таблица1[[#This Row],[Грунт]]+Таблица1[[#This Row],[Щебень]]+Таблица1[[#This Row],[Асфальт]]+Таблица1[[#This Row],[Бетон]]</f>
        <v>4</v>
      </c>
      <c r="F76" s="104">
        <v>4</v>
      </c>
      <c r="G76" s="105"/>
      <c r="H76" s="106"/>
      <c r="I76" s="107"/>
      <c r="J76" s="165"/>
      <c r="N76" s="8" t="b">
        <f>OR(Таблица1[[#This Row],[Щебень]]&gt;0,Таблица1[[#This Row],[Асфальт]]&gt;0,Таблица1[[#This Row],[Бетон]]&gt;0)</f>
        <v>0</v>
      </c>
      <c r="Q76" s="8">
        <v>75</v>
      </c>
      <c r="S76" s="228"/>
      <c r="T76" s="228"/>
    </row>
    <row r="77" spans="1:20" x14ac:dyDescent="0.35">
      <c r="A77" s="9">
        <v>76</v>
      </c>
      <c r="B77" s="9" t="s">
        <v>149</v>
      </c>
      <c r="C77" s="9" t="s">
        <v>150</v>
      </c>
      <c r="D77" s="9" t="s">
        <v>543</v>
      </c>
      <c r="E77" s="9">
        <f>Таблица1[[#This Row],[Грунт]]+Таблица1[[#This Row],[Щебень]]+Таблица1[[#This Row],[Асфальт]]+Таблица1[[#This Row],[Бетон]]</f>
        <v>0.5</v>
      </c>
      <c r="F77" s="104">
        <v>0.5</v>
      </c>
      <c r="G77" s="105"/>
      <c r="H77" s="106"/>
      <c r="I77" s="107"/>
      <c r="J77" s="165"/>
      <c r="N77" s="8" t="b">
        <f>OR(Таблица1[[#This Row],[Щебень]]&gt;0,Таблица1[[#This Row],[Асфальт]]&gt;0,Таблица1[[#This Row],[Бетон]]&gt;0)</f>
        <v>0</v>
      </c>
      <c r="Q77" s="8">
        <v>76</v>
      </c>
      <c r="S77" s="228"/>
      <c r="T77" s="228"/>
    </row>
    <row r="78" spans="1:20" x14ac:dyDescent="0.35">
      <c r="A78" s="9">
        <v>77</v>
      </c>
      <c r="B78" s="9" t="s">
        <v>151</v>
      </c>
      <c r="C78" s="9" t="s">
        <v>152</v>
      </c>
      <c r="D78" s="9" t="s">
        <v>543</v>
      </c>
      <c r="E78" s="9">
        <f>Таблица1[[#This Row],[Грунт]]+Таблица1[[#This Row],[Щебень]]+Таблица1[[#This Row],[Асфальт]]+Таблица1[[#This Row],[Бетон]]</f>
        <v>1</v>
      </c>
      <c r="F78" s="104"/>
      <c r="G78" s="105"/>
      <c r="H78" s="106">
        <v>1</v>
      </c>
      <c r="I78" s="107"/>
      <c r="J78" s="165"/>
      <c r="N78" s="8" t="b">
        <f>OR(Таблица1[[#This Row],[Щебень]]&gt;0,Таблица1[[#This Row],[Асфальт]]&gt;0,Таблица1[[#This Row],[Бетон]]&gt;0)</f>
        <v>1</v>
      </c>
      <c r="O78" s="8">
        <v>1</v>
      </c>
      <c r="Q78" s="8">
        <v>77</v>
      </c>
      <c r="S78" s="228"/>
      <c r="T78" s="228"/>
    </row>
    <row r="79" spans="1:20" ht="46.5" x14ac:dyDescent="0.35">
      <c r="A79" s="9">
        <v>78</v>
      </c>
      <c r="B79" s="9" t="s">
        <v>153</v>
      </c>
      <c r="C79" s="9" t="s">
        <v>154</v>
      </c>
      <c r="D79" s="9" t="s">
        <v>543</v>
      </c>
      <c r="E79" s="9">
        <f>Таблица1[[#This Row],[Грунт]]+Таблица1[[#This Row],[Щебень]]+Таблица1[[#This Row],[Асфальт]]+Таблица1[[#This Row],[Бетон]]</f>
        <v>7</v>
      </c>
      <c r="F79" s="104"/>
      <c r="G79" s="105"/>
      <c r="H79" s="106">
        <v>7</v>
      </c>
      <c r="I79" s="107"/>
      <c r="J79" s="165"/>
      <c r="K79" s="10" t="s">
        <v>557</v>
      </c>
      <c r="N79" s="8" t="b">
        <f>OR(Таблица1[[#This Row],[Щебень]]&gt;0,Таблица1[[#This Row],[Асфальт]]&gt;0,Таблица1[[#This Row],[Бетон]]&gt;0)</f>
        <v>1</v>
      </c>
      <c r="Q79" s="8">
        <v>78</v>
      </c>
      <c r="S79" s="228"/>
      <c r="T79" s="228"/>
    </row>
    <row r="80" spans="1:20" x14ac:dyDescent="0.35">
      <c r="A80" s="9">
        <v>79</v>
      </c>
      <c r="B80" s="9" t="s">
        <v>155</v>
      </c>
      <c r="C80" s="9" t="s">
        <v>156</v>
      </c>
      <c r="D80" s="9" t="s">
        <v>543</v>
      </c>
      <c r="E80" s="9">
        <f>Таблица1[[#This Row],[Грунт]]+Таблица1[[#This Row],[Щебень]]+Таблица1[[#This Row],[Асфальт]]+Таблица1[[#This Row],[Бетон]]</f>
        <v>2</v>
      </c>
      <c r="F80" s="104">
        <v>2</v>
      </c>
      <c r="G80" s="105"/>
      <c r="H80" s="106"/>
      <c r="I80" s="107"/>
      <c r="J80" s="165"/>
      <c r="N80" s="8" t="b">
        <f>OR(Таблица1[[#This Row],[Щебень]]&gt;0,Таблица1[[#This Row],[Асфальт]]&gt;0,Таблица1[[#This Row],[Бетон]]&gt;0)</f>
        <v>0</v>
      </c>
      <c r="Q80" s="8">
        <v>79</v>
      </c>
      <c r="S80" s="228"/>
      <c r="T80" s="228"/>
    </row>
    <row r="81" spans="1:20" x14ac:dyDescent="0.35">
      <c r="A81" s="9">
        <v>80</v>
      </c>
      <c r="B81" s="9" t="s">
        <v>157</v>
      </c>
      <c r="C81" s="9" t="s">
        <v>158</v>
      </c>
      <c r="D81" s="9" t="s">
        <v>543</v>
      </c>
      <c r="E81" s="9">
        <f>Таблица1[[#This Row],[Грунт]]+Таблица1[[#This Row],[Щебень]]+Таблица1[[#This Row],[Асфальт]]+Таблица1[[#This Row],[Бетон]]</f>
        <v>1.5</v>
      </c>
      <c r="F81" s="104">
        <v>1.5</v>
      </c>
      <c r="G81" s="105"/>
      <c r="H81" s="106"/>
      <c r="I81" s="107"/>
      <c r="J81" s="165"/>
      <c r="N81" s="8" t="b">
        <f>OR(Таблица1[[#This Row],[Щебень]]&gt;0,Таблица1[[#This Row],[Асфальт]]&gt;0,Таблица1[[#This Row],[Бетон]]&gt;0)</f>
        <v>0</v>
      </c>
      <c r="Q81" s="8">
        <v>80</v>
      </c>
      <c r="S81" s="228"/>
      <c r="T81" s="228"/>
    </row>
    <row r="82" spans="1:20" x14ac:dyDescent="0.35">
      <c r="A82" s="9">
        <v>81</v>
      </c>
      <c r="B82" s="9" t="s">
        <v>159</v>
      </c>
      <c r="C82" s="9" t="s">
        <v>160</v>
      </c>
      <c r="D82" s="9" t="s">
        <v>543</v>
      </c>
      <c r="E82" s="9">
        <f>Таблица1[[#This Row],[Грунт]]+Таблица1[[#This Row],[Щебень]]+Таблица1[[#This Row],[Асфальт]]+Таблица1[[#This Row],[Бетон]]</f>
        <v>3</v>
      </c>
      <c r="F82" s="104">
        <v>3</v>
      </c>
      <c r="G82" s="105"/>
      <c r="H82" s="106"/>
      <c r="I82" s="107"/>
      <c r="J82" s="165"/>
      <c r="N82" s="8" t="b">
        <f>OR(Таблица1[[#This Row],[Щебень]]&gt;0,Таблица1[[#This Row],[Асфальт]]&gt;0,Таблица1[[#This Row],[Бетон]]&gt;0)</f>
        <v>0</v>
      </c>
      <c r="Q82" s="8">
        <v>81</v>
      </c>
      <c r="S82" s="228"/>
      <c r="T82" s="228"/>
    </row>
    <row r="83" spans="1:20" x14ac:dyDescent="0.35">
      <c r="A83" s="9">
        <v>82</v>
      </c>
      <c r="B83" s="9" t="s">
        <v>161</v>
      </c>
      <c r="C83" s="9" t="s">
        <v>162</v>
      </c>
      <c r="D83" s="9" t="s">
        <v>543</v>
      </c>
      <c r="E83" s="9">
        <f>Таблица1[[#This Row],[Грунт]]+Таблица1[[#This Row],[Щебень]]+Таблица1[[#This Row],[Асфальт]]+Таблица1[[#This Row],[Бетон]]</f>
        <v>2</v>
      </c>
      <c r="F83" s="104">
        <v>2</v>
      </c>
      <c r="G83" s="105"/>
      <c r="H83" s="106"/>
      <c r="I83" s="107"/>
      <c r="J83" s="165"/>
      <c r="N83" s="8" t="b">
        <f>OR(Таблица1[[#This Row],[Щебень]]&gt;0,Таблица1[[#This Row],[Асфальт]]&gt;0,Таблица1[[#This Row],[Бетон]]&gt;0)</f>
        <v>0</v>
      </c>
      <c r="Q83" s="8">
        <v>82</v>
      </c>
      <c r="S83" s="228"/>
      <c r="T83" s="228"/>
    </row>
    <row r="84" spans="1:20" x14ac:dyDescent="0.35">
      <c r="A84" s="9">
        <v>83</v>
      </c>
      <c r="B84" s="9" t="s">
        <v>163</v>
      </c>
      <c r="C84" s="9" t="s">
        <v>164</v>
      </c>
      <c r="D84" s="9" t="s">
        <v>571</v>
      </c>
      <c r="E84" s="9">
        <f>Таблица1[[#This Row],[Грунт]]+Таблица1[[#This Row],[Щебень]]+Таблица1[[#This Row],[Асфальт]]+Таблица1[[#This Row],[Бетон]]</f>
        <v>5</v>
      </c>
      <c r="F84" s="104"/>
      <c r="G84" s="105">
        <v>5</v>
      </c>
      <c r="H84" s="106"/>
      <c r="I84" s="107"/>
      <c r="J84" s="165"/>
      <c r="K84" s="10" t="s">
        <v>557</v>
      </c>
      <c r="N84" s="8" t="b">
        <f>OR(Таблица1[[#This Row],[Щебень]]&gt;0,Таблица1[[#This Row],[Асфальт]]&gt;0,Таблица1[[#This Row],[Бетон]]&gt;0)</f>
        <v>1</v>
      </c>
      <c r="Q84" s="8">
        <v>83</v>
      </c>
      <c r="S84" s="228"/>
      <c r="T84" s="228"/>
    </row>
    <row r="85" spans="1:20" x14ac:dyDescent="0.35">
      <c r="A85" s="9">
        <v>84</v>
      </c>
      <c r="B85" s="9" t="s">
        <v>165</v>
      </c>
      <c r="C85" s="9" t="s">
        <v>166</v>
      </c>
      <c r="D85" s="9" t="s">
        <v>571</v>
      </c>
      <c r="E85" s="9">
        <f>Таблица1[[#This Row],[Грунт]]+Таблица1[[#This Row],[Щебень]]+Таблица1[[#This Row],[Асфальт]]+Таблица1[[#This Row],[Бетон]]</f>
        <v>2</v>
      </c>
      <c r="F85" s="104"/>
      <c r="G85" s="105">
        <v>2</v>
      </c>
      <c r="H85" s="106"/>
      <c r="I85" s="107"/>
      <c r="J85" s="165"/>
      <c r="K85" s="10" t="s">
        <v>557</v>
      </c>
      <c r="N85" s="8" t="b">
        <f>OR(Таблица1[[#This Row],[Щебень]]&gt;0,Таблица1[[#This Row],[Асфальт]]&gt;0,Таблица1[[#This Row],[Бетон]]&gt;0)</f>
        <v>1</v>
      </c>
      <c r="Q85" s="8">
        <v>84</v>
      </c>
      <c r="S85" s="228"/>
      <c r="T85" s="228"/>
    </row>
    <row r="86" spans="1:20" x14ac:dyDescent="0.35">
      <c r="A86" s="9">
        <v>85</v>
      </c>
      <c r="B86" s="9" t="s">
        <v>167</v>
      </c>
      <c r="C86" s="9" t="s">
        <v>168</v>
      </c>
      <c r="D86" s="9" t="s">
        <v>571</v>
      </c>
      <c r="E86" s="9">
        <f>Таблица1[[#This Row],[Грунт]]+Таблица1[[#This Row],[Щебень]]+Таблица1[[#This Row],[Асфальт]]+Таблица1[[#This Row],[Бетон]]</f>
        <v>0.5</v>
      </c>
      <c r="F86" s="104">
        <v>0.5</v>
      </c>
      <c r="G86" s="105"/>
      <c r="H86" s="106"/>
      <c r="I86" s="107"/>
      <c r="J86" s="165"/>
      <c r="N86" s="8" t="b">
        <f>OR(Таблица1[[#This Row],[Щебень]]&gt;0,Таблица1[[#This Row],[Асфальт]]&gt;0,Таблица1[[#This Row],[Бетон]]&gt;0)</f>
        <v>0</v>
      </c>
      <c r="Q86" s="8">
        <v>85</v>
      </c>
      <c r="S86" s="228"/>
      <c r="T86" s="228"/>
    </row>
    <row r="87" spans="1:20" x14ac:dyDescent="0.35">
      <c r="A87" s="9">
        <v>86</v>
      </c>
      <c r="B87" s="9" t="s">
        <v>169</v>
      </c>
      <c r="C87" s="9" t="s">
        <v>170</v>
      </c>
      <c r="D87" s="9" t="s">
        <v>571</v>
      </c>
      <c r="E87" s="9">
        <f>Таблица1[[#This Row],[Грунт]]+Таблица1[[#This Row],[Щебень]]+Таблица1[[#This Row],[Асфальт]]+Таблица1[[#This Row],[Бетон]]</f>
        <v>1</v>
      </c>
      <c r="F87" s="104">
        <v>1</v>
      </c>
      <c r="G87" s="105"/>
      <c r="H87" s="106"/>
      <c r="I87" s="107"/>
      <c r="J87" s="165"/>
      <c r="N87" s="8" t="b">
        <f>OR(Таблица1[[#This Row],[Щебень]]&gt;0,Таблица1[[#This Row],[Асфальт]]&gt;0,Таблица1[[#This Row],[Бетон]]&gt;0)</f>
        <v>0</v>
      </c>
      <c r="O87" s="8" t="s">
        <v>569</v>
      </c>
      <c r="Q87" s="8">
        <v>86</v>
      </c>
      <c r="S87" s="228"/>
      <c r="T87" s="228"/>
    </row>
    <row r="88" spans="1:20" x14ac:dyDescent="0.35">
      <c r="A88" s="9">
        <v>87</v>
      </c>
      <c r="B88" s="9" t="s">
        <v>171</v>
      </c>
      <c r="C88" s="9" t="s">
        <v>172</v>
      </c>
      <c r="D88" s="9" t="s">
        <v>571</v>
      </c>
      <c r="E88" s="9">
        <f>Таблица1[[#This Row],[Грунт]]+Таблица1[[#This Row],[Щебень]]+Таблица1[[#This Row],[Асфальт]]+Таблица1[[#This Row],[Бетон]]</f>
        <v>2</v>
      </c>
      <c r="F88" s="104">
        <v>2</v>
      </c>
      <c r="G88" s="105"/>
      <c r="H88" s="106"/>
      <c r="I88" s="107"/>
      <c r="J88" s="165"/>
      <c r="N88" s="8" t="b">
        <f>OR(Таблица1[[#This Row],[Щебень]]&gt;0,Таблица1[[#This Row],[Асфальт]]&gt;0,Таблица1[[#This Row],[Бетон]]&gt;0)</f>
        <v>0</v>
      </c>
      <c r="Q88" s="8">
        <v>87</v>
      </c>
      <c r="S88" s="228"/>
      <c r="T88" s="228"/>
    </row>
    <row r="89" spans="1:20" s="111" customFormat="1" x14ac:dyDescent="0.35">
      <c r="A89" s="108">
        <v>88</v>
      </c>
      <c r="B89" s="108" t="s">
        <v>173</v>
      </c>
      <c r="C89" s="108" t="s">
        <v>174</v>
      </c>
      <c r="D89" s="108" t="s">
        <v>571</v>
      </c>
      <c r="E89" s="9">
        <f>Таблица1[[#This Row],[Грунт]]+Таблица1[[#This Row],[Щебень]]+Таблица1[[#This Row],[Асфальт]]+Таблица1[[#This Row],[Бетон]]</f>
        <v>2</v>
      </c>
      <c r="F89" s="109">
        <v>2</v>
      </c>
      <c r="G89" s="109"/>
      <c r="H89" s="109"/>
      <c r="I89" s="109"/>
      <c r="J89" s="165"/>
      <c r="K89" s="111" t="s">
        <v>558</v>
      </c>
      <c r="N89" s="111" t="b">
        <f>OR(Таблица1[[#This Row],[Щебень]]&gt;0,Таблица1[[#This Row],[Асфальт]]&gt;0,Таблица1[[#This Row],[Бетон]]&gt;0)</f>
        <v>0</v>
      </c>
      <c r="O89" s="8"/>
      <c r="P89" s="8"/>
      <c r="Q89" s="8">
        <v>88</v>
      </c>
      <c r="R89" s="8"/>
      <c r="S89" s="228"/>
      <c r="T89" s="228"/>
    </row>
    <row r="90" spans="1:20" x14ac:dyDescent="0.35">
      <c r="A90" s="9">
        <v>89</v>
      </c>
      <c r="B90" s="9" t="s">
        <v>175</v>
      </c>
      <c r="C90" s="9" t="s">
        <v>176</v>
      </c>
      <c r="D90" s="9" t="s">
        <v>571</v>
      </c>
      <c r="E90" s="9">
        <f>Таблица1[[#This Row],[Грунт]]+Таблица1[[#This Row],[Щебень]]+Таблица1[[#This Row],[Асфальт]]+Таблица1[[#This Row],[Бетон]]</f>
        <v>1</v>
      </c>
      <c r="F90" s="104">
        <v>1</v>
      </c>
      <c r="G90" s="105"/>
      <c r="H90" s="106"/>
      <c r="I90" s="107"/>
      <c r="J90" s="165"/>
      <c r="N90" s="8" t="b">
        <f>OR(Таблица1[[#This Row],[Щебень]]&gt;0,Таблица1[[#This Row],[Асфальт]]&gt;0,Таблица1[[#This Row],[Бетон]]&gt;0)</f>
        <v>0</v>
      </c>
      <c r="Q90" s="8">
        <v>89</v>
      </c>
      <c r="S90" s="228"/>
      <c r="T90" s="228"/>
    </row>
    <row r="91" spans="1:20" x14ac:dyDescent="0.35">
      <c r="A91" s="9">
        <v>90</v>
      </c>
      <c r="B91" s="9" t="s">
        <v>177</v>
      </c>
      <c r="C91" s="9" t="s">
        <v>810</v>
      </c>
      <c r="D91" s="9" t="s">
        <v>571</v>
      </c>
      <c r="E91" s="9">
        <f>Таблица1[[#This Row],[Грунт]]+Таблица1[[#This Row],[Щебень]]+Таблица1[[#This Row],[Асфальт]]+Таблица1[[#This Row],[Бетон]]</f>
        <v>4</v>
      </c>
      <c r="F91" s="104"/>
      <c r="G91" s="105"/>
      <c r="H91" s="106"/>
      <c r="I91" s="107">
        <v>4</v>
      </c>
      <c r="J91" s="165"/>
      <c r="N91" s="8" t="b">
        <f>OR(Таблица1[[#This Row],[Щебень]]&gt;0,Таблица1[[#This Row],[Асфальт]]&gt;0,Таблица1[[#This Row],[Бетон]]&gt;0)</f>
        <v>1</v>
      </c>
      <c r="O91" s="8">
        <v>1</v>
      </c>
      <c r="Q91" s="8">
        <v>90</v>
      </c>
      <c r="S91" s="228"/>
      <c r="T91" s="228"/>
    </row>
    <row r="92" spans="1:20" x14ac:dyDescent="0.35">
      <c r="A92" s="9">
        <v>91</v>
      </c>
      <c r="B92" s="9" t="s">
        <v>179</v>
      </c>
      <c r="C92" s="9" t="s">
        <v>180</v>
      </c>
      <c r="D92" s="9" t="s">
        <v>571</v>
      </c>
      <c r="E92" s="9">
        <f>Таблица1[[#This Row],[Грунт]]+Таблица1[[#This Row],[Щебень]]+Таблица1[[#This Row],[Асфальт]]+Таблица1[[#This Row],[Бетон]]</f>
        <v>2</v>
      </c>
      <c r="F92" s="104">
        <v>2</v>
      </c>
      <c r="G92" s="105"/>
      <c r="H92" s="106"/>
      <c r="I92" s="107"/>
      <c r="J92" s="165"/>
      <c r="N92" s="8" t="b">
        <f>OR(Таблица1[[#This Row],[Щебень]]&gt;0,Таблица1[[#This Row],[Асфальт]]&gt;0,Таблица1[[#This Row],[Бетон]]&gt;0)</f>
        <v>0</v>
      </c>
      <c r="Q92" s="8">
        <v>91</v>
      </c>
      <c r="S92" s="228"/>
      <c r="T92" s="228"/>
    </row>
    <row r="93" spans="1:20" x14ac:dyDescent="0.35">
      <c r="A93" s="9">
        <v>92</v>
      </c>
      <c r="B93" s="9" t="s">
        <v>181</v>
      </c>
      <c r="C93" s="9" t="s">
        <v>182</v>
      </c>
      <c r="D93" s="9" t="s">
        <v>571</v>
      </c>
      <c r="E93" s="9">
        <f>Таблица1[[#This Row],[Грунт]]+Таблица1[[#This Row],[Щебень]]+Таблица1[[#This Row],[Асфальт]]+Таблица1[[#This Row],[Бетон]]</f>
        <v>2.5</v>
      </c>
      <c r="F93" s="104">
        <v>2.5</v>
      </c>
      <c r="G93" s="105"/>
      <c r="H93" s="106"/>
      <c r="I93" s="107"/>
      <c r="J93" s="165"/>
      <c r="N93" s="8" t="b">
        <f>OR(Таблица1[[#This Row],[Щебень]]&gt;0,Таблица1[[#This Row],[Асфальт]]&gt;0,Таблица1[[#This Row],[Бетон]]&gt;0)</f>
        <v>0</v>
      </c>
      <c r="Q93" s="8">
        <v>92</v>
      </c>
      <c r="S93" s="228"/>
      <c r="T93" s="228"/>
    </row>
    <row r="94" spans="1:20" x14ac:dyDescent="0.35">
      <c r="A94" s="9">
        <v>93</v>
      </c>
      <c r="B94" s="9" t="s">
        <v>183</v>
      </c>
      <c r="C94" s="9" t="s">
        <v>184</v>
      </c>
      <c r="D94" s="9" t="s">
        <v>571</v>
      </c>
      <c r="E94" s="9">
        <f>Таблица1[[#This Row],[Грунт]]+Таблица1[[#This Row],[Щебень]]+Таблица1[[#This Row],[Асфальт]]+Таблица1[[#This Row],[Бетон]]</f>
        <v>3</v>
      </c>
      <c r="F94" s="104">
        <v>3</v>
      </c>
      <c r="G94" s="105"/>
      <c r="H94" s="106"/>
      <c r="I94" s="107"/>
      <c r="J94" s="165"/>
      <c r="N94" s="8" t="b">
        <f>OR(Таблица1[[#This Row],[Щебень]]&gt;0,Таблица1[[#This Row],[Асфальт]]&gt;0,Таблица1[[#This Row],[Бетон]]&gt;0)</f>
        <v>0</v>
      </c>
      <c r="Q94" s="8">
        <v>93</v>
      </c>
      <c r="S94" s="228"/>
      <c r="T94" s="228"/>
    </row>
    <row r="95" spans="1:20" x14ac:dyDescent="0.35">
      <c r="A95" s="9">
        <v>94</v>
      </c>
      <c r="B95" s="9" t="s">
        <v>185</v>
      </c>
      <c r="C95" s="9" t="s">
        <v>186</v>
      </c>
      <c r="D95" s="9" t="s">
        <v>571</v>
      </c>
      <c r="E95" s="9">
        <f>Таблица1[[#This Row],[Грунт]]+Таблица1[[#This Row],[Щебень]]+Таблица1[[#This Row],[Асфальт]]+Таблица1[[#This Row],[Бетон]]</f>
        <v>3</v>
      </c>
      <c r="F95" s="104">
        <v>3</v>
      </c>
      <c r="G95" s="105"/>
      <c r="H95" s="106"/>
      <c r="I95" s="107"/>
      <c r="J95" s="165"/>
      <c r="N95" s="8" t="b">
        <f>OR(Таблица1[[#This Row],[Щебень]]&gt;0,Таблица1[[#This Row],[Асфальт]]&gt;0,Таблица1[[#This Row],[Бетон]]&gt;0)</f>
        <v>0</v>
      </c>
      <c r="Q95" s="8">
        <v>94</v>
      </c>
      <c r="S95" s="228"/>
      <c r="T95" s="228"/>
    </row>
    <row r="96" spans="1:20" x14ac:dyDescent="0.35">
      <c r="A96" s="9">
        <v>95</v>
      </c>
      <c r="B96" s="9" t="s">
        <v>187</v>
      </c>
      <c r="C96" s="9" t="s">
        <v>188</v>
      </c>
      <c r="D96" s="9" t="s">
        <v>571</v>
      </c>
      <c r="E96" s="9">
        <f>Таблица1[[#This Row],[Грунт]]+Таблица1[[#This Row],[Щебень]]+Таблица1[[#This Row],[Асфальт]]+Таблица1[[#This Row],[Бетон]]</f>
        <v>2</v>
      </c>
      <c r="F96" s="104">
        <v>2</v>
      </c>
      <c r="G96" s="105"/>
      <c r="H96" s="106"/>
      <c r="I96" s="107"/>
      <c r="J96" s="165"/>
      <c r="N96" s="8" t="b">
        <f>OR(Таблица1[[#This Row],[Щебень]]&gt;0,Таблица1[[#This Row],[Асфальт]]&gt;0,Таблица1[[#This Row],[Бетон]]&gt;0)</f>
        <v>0</v>
      </c>
      <c r="Q96" s="8">
        <v>95</v>
      </c>
      <c r="S96" s="228"/>
      <c r="T96" s="228"/>
    </row>
    <row r="97" spans="1:20" ht="46.5" x14ac:dyDescent="0.35">
      <c r="A97" s="9">
        <v>96</v>
      </c>
      <c r="B97" s="9" t="s">
        <v>189</v>
      </c>
      <c r="C97" s="9" t="s">
        <v>190</v>
      </c>
      <c r="D97" s="9" t="s">
        <v>548</v>
      </c>
      <c r="E97" s="9">
        <f>Таблица1[[#This Row],[Грунт]]+Таблица1[[#This Row],[Щебень]]+Таблица1[[#This Row],[Асфальт]]+Таблица1[[#This Row],[Бетон]]</f>
        <v>2.5</v>
      </c>
      <c r="F97" s="104">
        <v>1.3</v>
      </c>
      <c r="G97" s="105"/>
      <c r="H97" s="106">
        <v>1.2</v>
      </c>
      <c r="I97" s="107">
        <v>0</v>
      </c>
      <c r="J97" s="165"/>
      <c r="K97" s="10" t="s">
        <v>557</v>
      </c>
      <c r="N97" s="8" t="b">
        <f>OR(Таблица1[[#This Row],[Щебень]]&gt;0,Таблица1[[#This Row],[Асфальт]]&gt;0,Таблица1[[#This Row],[Бетон]]&gt;0)</f>
        <v>1</v>
      </c>
      <c r="O97" s="8">
        <v>1</v>
      </c>
      <c r="Q97" s="8">
        <v>96</v>
      </c>
      <c r="S97" s="228"/>
      <c r="T97" s="228"/>
    </row>
    <row r="98" spans="1:20" ht="46.5" x14ac:dyDescent="0.35">
      <c r="A98" s="9">
        <v>97</v>
      </c>
      <c r="B98" s="9" t="s">
        <v>191</v>
      </c>
      <c r="C98" s="9" t="s">
        <v>192</v>
      </c>
      <c r="D98" s="9" t="s">
        <v>548</v>
      </c>
      <c r="E98" s="9">
        <f>Таблица1[[#This Row],[Грунт]]+Таблица1[[#This Row],[Щебень]]+Таблица1[[#This Row],[Асфальт]]+Таблица1[[#This Row],[Бетон]]</f>
        <v>1.54</v>
      </c>
      <c r="F98" s="104"/>
      <c r="G98" s="105"/>
      <c r="H98" s="106">
        <v>1.54</v>
      </c>
      <c r="I98" s="107"/>
      <c r="J98" s="165"/>
      <c r="K98" s="10" t="s">
        <v>557</v>
      </c>
      <c r="N98" s="8" t="b">
        <f>OR(Таблица1[[#This Row],[Щебень]]&gt;0,Таблица1[[#This Row],[Асфальт]]&gt;0,Таблица1[[#This Row],[Бетон]]&gt;0)</f>
        <v>1</v>
      </c>
      <c r="O98" s="8">
        <v>1</v>
      </c>
      <c r="Q98" s="8">
        <v>97</v>
      </c>
      <c r="S98" s="228"/>
      <c r="T98" s="228"/>
    </row>
    <row r="99" spans="1:20" x14ac:dyDescent="0.35">
      <c r="A99" s="9">
        <v>98</v>
      </c>
      <c r="B99" s="9" t="s">
        <v>193</v>
      </c>
      <c r="C99" s="9" t="s">
        <v>194</v>
      </c>
      <c r="D99" s="9" t="s">
        <v>539</v>
      </c>
      <c r="E99" s="9">
        <f>Таблица1[[#This Row],[Грунт]]+Таблица1[[#This Row],[Щебень]]+Таблица1[[#This Row],[Асфальт]]+Таблица1[[#This Row],[Бетон]]</f>
        <v>3.5</v>
      </c>
      <c r="F99" s="104">
        <v>3.5</v>
      </c>
      <c r="G99" s="105"/>
      <c r="H99" s="106"/>
      <c r="I99" s="107"/>
      <c r="J99" s="165"/>
      <c r="N99" s="8" t="b">
        <f>OR(Таблица1[[#This Row],[Щебень]]&gt;0,Таблица1[[#This Row],[Асфальт]]&gt;0,Таблица1[[#This Row],[Бетон]]&gt;0)</f>
        <v>0</v>
      </c>
      <c r="Q99" s="8">
        <v>98</v>
      </c>
      <c r="S99" s="228"/>
      <c r="T99" s="228"/>
    </row>
    <row r="100" spans="1:20" ht="46.5" x14ac:dyDescent="0.35">
      <c r="A100" s="9">
        <v>99</v>
      </c>
      <c r="B100" s="9" t="s">
        <v>195</v>
      </c>
      <c r="C100" s="9" t="s">
        <v>196</v>
      </c>
      <c r="D100" s="9" t="s">
        <v>548</v>
      </c>
      <c r="E100" s="9">
        <f>Таблица1[[#This Row],[Грунт]]+Таблица1[[#This Row],[Щебень]]+Таблица1[[#This Row],[Асфальт]]+Таблица1[[#This Row],[Бетон]]</f>
        <v>2.2000000000000002</v>
      </c>
      <c r="F100" s="104"/>
      <c r="G100" s="105">
        <v>2.2000000000000002</v>
      </c>
      <c r="H100" s="106"/>
      <c r="I100" s="107"/>
      <c r="J100" s="165"/>
      <c r="K100" s="10" t="s">
        <v>557</v>
      </c>
      <c r="N100" s="8" t="b">
        <f>OR(Таблица1[[#This Row],[Щебень]]&gt;0,Таблица1[[#This Row],[Асфальт]]&gt;0,Таблица1[[#This Row],[Бетон]]&gt;0)</f>
        <v>1</v>
      </c>
      <c r="O100" s="8">
        <v>1</v>
      </c>
      <c r="Q100" s="8">
        <v>99</v>
      </c>
      <c r="S100" s="228"/>
      <c r="T100" s="228"/>
    </row>
    <row r="101" spans="1:20" ht="46.5" x14ac:dyDescent="0.35">
      <c r="A101" s="9">
        <v>100</v>
      </c>
      <c r="B101" s="9" t="s">
        <v>197</v>
      </c>
      <c r="C101" s="9" t="s">
        <v>198</v>
      </c>
      <c r="D101" s="9" t="s">
        <v>547</v>
      </c>
      <c r="E101" s="9">
        <f>Таблица1[[#This Row],[Грунт]]+Таблица1[[#This Row],[Щебень]]+Таблица1[[#This Row],[Асфальт]]+Таблица1[[#This Row],[Бетон]]</f>
        <v>1.2</v>
      </c>
      <c r="F101" s="104">
        <v>1.2</v>
      </c>
      <c r="G101" s="105"/>
      <c r="H101" s="106"/>
      <c r="I101" s="107"/>
      <c r="J101" s="165"/>
      <c r="N101" s="8" t="b">
        <f>OR(Таблица1[[#This Row],[Щебень]]&gt;0,Таблица1[[#This Row],[Асфальт]]&gt;0,Таблица1[[#This Row],[Бетон]]&gt;0)</f>
        <v>0</v>
      </c>
      <c r="Q101" s="8">
        <v>100</v>
      </c>
      <c r="S101" s="228"/>
      <c r="T101" s="228"/>
    </row>
    <row r="102" spans="1:20" x14ac:dyDescent="0.35">
      <c r="A102" s="9">
        <v>101</v>
      </c>
      <c r="B102" s="9" t="s">
        <v>199</v>
      </c>
      <c r="C102" s="9" t="s">
        <v>200</v>
      </c>
      <c r="D102" s="9" t="s">
        <v>539</v>
      </c>
      <c r="E102" s="9">
        <f>Таблица1[[#This Row],[Грунт]]+Таблица1[[#This Row],[Щебень]]+Таблица1[[#This Row],[Асфальт]]+Таблица1[[#This Row],[Бетон]]</f>
        <v>1.8</v>
      </c>
      <c r="F102" s="104">
        <v>1.8</v>
      </c>
      <c r="G102" s="105"/>
      <c r="H102" s="106"/>
      <c r="I102" s="107"/>
      <c r="J102" s="165"/>
      <c r="N102" s="8" t="b">
        <f>OR(Таблица1[[#This Row],[Щебень]]&gt;0,Таблица1[[#This Row],[Асфальт]]&gt;0,Таблица1[[#This Row],[Бетон]]&gt;0)</f>
        <v>0</v>
      </c>
      <c r="Q102" s="8">
        <v>101</v>
      </c>
      <c r="S102" s="228"/>
      <c r="T102" s="228"/>
    </row>
    <row r="103" spans="1:20" x14ac:dyDescent="0.35">
      <c r="A103" s="9">
        <v>102</v>
      </c>
      <c r="B103" s="9" t="s">
        <v>201</v>
      </c>
      <c r="C103" s="9" t="s">
        <v>202</v>
      </c>
      <c r="D103" s="9" t="s">
        <v>543</v>
      </c>
      <c r="E103" s="9">
        <f>Таблица1[[#This Row],[Грунт]]+Таблица1[[#This Row],[Щебень]]+Таблица1[[#This Row],[Асфальт]]+Таблица1[[#This Row],[Бетон]]</f>
        <v>1</v>
      </c>
      <c r="F103" s="104"/>
      <c r="G103" s="105">
        <v>1</v>
      </c>
      <c r="H103" s="106"/>
      <c r="I103" s="107"/>
      <c r="J103" s="165"/>
      <c r="N103" s="8" t="b">
        <f>OR(Таблица1[[#This Row],[Щебень]]&gt;0,Таблица1[[#This Row],[Асфальт]]&gt;0,Таблица1[[#This Row],[Бетон]]&gt;0)</f>
        <v>1</v>
      </c>
      <c r="O103" s="8">
        <v>1</v>
      </c>
      <c r="Q103" s="8">
        <v>102</v>
      </c>
      <c r="S103" s="228"/>
      <c r="T103" s="228"/>
    </row>
    <row r="104" spans="1:20" s="111" customFormat="1" ht="46.5" x14ac:dyDescent="0.35">
      <c r="A104" s="132">
        <v>103</v>
      </c>
      <c r="B104" s="132" t="s">
        <v>203</v>
      </c>
      <c r="C104" s="132" t="s">
        <v>534</v>
      </c>
      <c r="D104" s="132" t="s">
        <v>545</v>
      </c>
      <c r="E104" s="133">
        <f>Таблица1[[#This Row],[Грунт]]+Таблица1[[#This Row],[Щебень]]+Таблица1[[#This Row],[Асфальт]]</f>
        <v>3.2</v>
      </c>
      <c r="F104" s="104"/>
      <c r="G104" s="105"/>
      <c r="H104" s="106">
        <v>3.2</v>
      </c>
      <c r="I104" s="107"/>
      <c r="J104" s="165"/>
      <c r="N104" s="111" t="b">
        <f>OR(Таблица1[[#This Row],[Щебень]]&gt;0,Таблица1[[#This Row],[Асфальт]]&gt;0,Таблица1[[#This Row],[Бетон]]&gt;0)</f>
        <v>1</v>
      </c>
      <c r="O104" s="8">
        <v>1</v>
      </c>
      <c r="P104" s="8"/>
      <c r="Q104" s="8">
        <v>103</v>
      </c>
      <c r="R104" s="8"/>
      <c r="S104" s="228"/>
      <c r="T104" s="228"/>
    </row>
    <row r="105" spans="1:20" s="122" customFormat="1" ht="46.5" x14ac:dyDescent="0.35">
      <c r="A105" s="9">
        <v>105</v>
      </c>
      <c r="B105" s="9" t="s">
        <v>784</v>
      </c>
      <c r="C105" s="112" t="s">
        <v>783</v>
      </c>
      <c r="D105" s="113" t="s">
        <v>542</v>
      </c>
      <c r="E105" s="9">
        <f>Таблица1[[#This Row],[Грунт]]+Таблица1[[#This Row],[Щебень]]+Таблица1[[#This Row],[Асфальт]]+Таблица1[[#This Row],[Бетон]]</f>
        <v>1.901</v>
      </c>
      <c r="F105" s="104">
        <v>1.901</v>
      </c>
      <c r="G105" s="105"/>
      <c r="H105" s="106"/>
      <c r="I105" s="107"/>
      <c r="J105" s="165"/>
      <c r="K105" s="8"/>
      <c r="L105" s="8"/>
      <c r="M105" s="8"/>
      <c r="N105" s="12" t="b">
        <f>OR(Таблица1[[#This Row],[Щебень]]&gt;0,Таблица1[[#This Row],[Асфальт]]&gt;0,Таблица1[[#This Row],[Бетон]]&gt;0)</f>
        <v>0</v>
      </c>
      <c r="O105" s="8"/>
      <c r="P105" s="8"/>
      <c r="Q105" s="8">
        <v>104</v>
      </c>
      <c r="R105" s="122" t="s">
        <v>796</v>
      </c>
      <c r="S105" s="230"/>
      <c r="T105" s="230"/>
    </row>
    <row r="106" spans="1:20" s="128" customFormat="1" ht="46.5" x14ac:dyDescent="0.35">
      <c r="A106" s="9">
        <v>106</v>
      </c>
      <c r="B106" s="113" t="s">
        <v>788</v>
      </c>
      <c r="C106" s="113" t="s">
        <v>789</v>
      </c>
      <c r="D106" s="9" t="s">
        <v>548</v>
      </c>
      <c r="E106" s="123">
        <v>0.43</v>
      </c>
      <c r="F106" s="124"/>
      <c r="G106" s="125"/>
      <c r="H106" s="126">
        <v>0.43</v>
      </c>
      <c r="I106" s="127"/>
      <c r="J106" s="166"/>
      <c r="N106" s="129" t="b">
        <f>OR(Таблица1[[#This Row],[Щебень]]&gt;0,Таблица1[[#This Row],[Асфальт]]&gt;0,Таблица1[[#This Row],[Бетон]]&gt;0)</f>
        <v>1</v>
      </c>
      <c r="Q106" s="8">
        <v>105</v>
      </c>
      <c r="R106" s="8">
        <f>SUM(E107:E274)</f>
        <v>258.41199999999986</v>
      </c>
      <c r="S106" s="228"/>
      <c r="T106" s="228"/>
    </row>
    <row r="107" spans="1:20" ht="46.5" x14ac:dyDescent="0.35">
      <c r="A107" s="9">
        <v>106</v>
      </c>
      <c r="B107" s="9" t="s">
        <v>205</v>
      </c>
      <c r="C107" s="9" t="s">
        <v>206</v>
      </c>
      <c r="D107" s="9" t="s">
        <v>538</v>
      </c>
      <c r="E107" s="9">
        <f>Таблица1[[#This Row],[Грунт]]+Таблица1[[#This Row],[Щебень]]+Таблица1[[#This Row],[Асфальт]]+Таблица1[[#This Row],[Бетон]]</f>
        <v>4</v>
      </c>
      <c r="F107" s="104"/>
      <c r="G107" s="105"/>
      <c r="H107" s="106">
        <v>4</v>
      </c>
      <c r="I107" s="107"/>
      <c r="J107" s="165"/>
      <c r="K107" s="8" t="s">
        <v>558</v>
      </c>
      <c r="L107" s="8">
        <v>1.45</v>
      </c>
      <c r="N107" s="8" t="b">
        <f>OR(Таблица1[[#This Row],[Щебень]]&gt;0,Таблица1[[#This Row],[Асфальт]]&gt;0,Таблица1[[#This Row],[Бетон]]&gt;0)</f>
        <v>1</v>
      </c>
      <c r="O107" s="8">
        <v>1</v>
      </c>
      <c r="Q107" s="8">
        <v>106</v>
      </c>
      <c r="S107" s="228"/>
      <c r="T107" s="228"/>
    </row>
    <row r="108" spans="1:20" ht="46.5" x14ac:dyDescent="0.35">
      <c r="A108" s="9">
        <v>107</v>
      </c>
      <c r="B108" s="9" t="s">
        <v>207</v>
      </c>
      <c r="C108" s="9" t="s">
        <v>208</v>
      </c>
      <c r="D108" s="9" t="s">
        <v>538</v>
      </c>
      <c r="E108" s="9">
        <f>Таблица1[[#This Row],[Грунт]]+Таблица1[[#This Row],[Щебень]]+Таблица1[[#This Row],[Асфальт]]+Таблица1[[#This Row],[Бетон]]</f>
        <v>4</v>
      </c>
      <c r="F108" s="104">
        <v>4</v>
      </c>
      <c r="G108" s="105"/>
      <c r="H108" s="106"/>
      <c r="I108" s="107"/>
      <c r="J108" s="165"/>
      <c r="N108" s="8" t="b">
        <f>OR(Таблица1[[#This Row],[Щебень]]&gt;0,Таблица1[[#This Row],[Асфальт]]&gt;0,Таблица1[[#This Row],[Бетон]]&gt;0)</f>
        <v>0</v>
      </c>
      <c r="Q108" s="8">
        <v>107</v>
      </c>
      <c r="S108" s="228"/>
      <c r="T108" s="228"/>
    </row>
    <row r="109" spans="1:20" ht="46.5" x14ac:dyDescent="0.35">
      <c r="A109" s="9">
        <v>108</v>
      </c>
      <c r="B109" s="9" t="s">
        <v>209</v>
      </c>
      <c r="C109" s="9" t="s">
        <v>210</v>
      </c>
      <c r="D109" s="9" t="s">
        <v>538</v>
      </c>
      <c r="E109" s="9">
        <f>Таблица1[[#This Row],[Грунт]]+Таблица1[[#This Row],[Щебень]]+Таблица1[[#This Row],[Асфальт]]+Таблица1[[#This Row],[Бетон]]</f>
        <v>3.7</v>
      </c>
      <c r="F109" s="104">
        <v>3.7</v>
      </c>
      <c r="G109" s="105"/>
      <c r="H109" s="106"/>
      <c r="I109" s="107"/>
      <c r="J109" s="165"/>
      <c r="N109" s="8" t="b">
        <f>OR(Таблица1[[#This Row],[Щебень]]&gt;0,Таблица1[[#This Row],[Асфальт]]&gt;0,Таблица1[[#This Row],[Бетон]]&gt;0)</f>
        <v>0</v>
      </c>
      <c r="Q109" s="8">
        <v>108</v>
      </c>
      <c r="S109" s="228"/>
      <c r="T109" s="228"/>
    </row>
    <row r="110" spans="1:20" ht="46.5" x14ac:dyDescent="0.35">
      <c r="A110" s="9">
        <v>109</v>
      </c>
      <c r="B110" s="9" t="s">
        <v>211</v>
      </c>
      <c r="C110" s="9" t="s">
        <v>212</v>
      </c>
      <c r="D110" s="9" t="s">
        <v>538</v>
      </c>
      <c r="E110" s="9">
        <f>Таблица1[[#This Row],[Грунт]]+Таблица1[[#This Row],[Щебень]]+Таблица1[[#This Row],[Асфальт]]+Таблица1[[#This Row],[Бетон]]</f>
        <v>2.5</v>
      </c>
      <c r="F110" s="104">
        <v>1</v>
      </c>
      <c r="G110" s="105"/>
      <c r="H110" s="106">
        <v>1.5</v>
      </c>
      <c r="I110" s="107"/>
      <c r="J110" s="165"/>
      <c r="N110" s="8" t="b">
        <f>OR(Таблица1[[#This Row],[Щебень]]&gt;0,Таблица1[[#This Row],[Асфальт]]&gt;0,Таблица1[[#This Row],[Бетон]]&gt;0)</f>
        <v>1</v>
      </c>
      <c r="O110" s="8">
        <v>1</v>
      </c>
      <c r="Q110" s="8">
        <v>109</v>
      </c>
      <c r="S110" s="228"/>
      <c r="T110" s="228"/>
    </row>
    <row r="111" spans="1:20" ht="46.5" x14ac:dyDescent="0.35">
      <c r="A111" s="9">
        <v>110</v>
      </c>
      <c r="B111" s="9" t="s">
        <v>213</v>
      </c>
      <c r="C111" s="9" t="s">
        <v>214</v>
      </c>
      <c r="D111" s="9" t="s">
        <v>538</v>
      </c>
      <c r="E111" s="9">
        <f>Таблица1[[#This Row],[Грунт]]+Таблица1[[#This Row],[Щебень]]+Таблица1[[#This Row],[Асфальт]]+Таблица1[[#This Row],[Бетон]]</f>
        <v>1.3</v>
      </c>
      <c r="F111" s="104">
        <v>1.3</v>
      </c>
      <c r="G111" s="105"/>
      <c r="H111" s="106"/>
      <c r="I111" s="107"/>
      <c r="J111" s="165"/>
      <c r="N111" s="8" t="b">
        <f>OR(Таблица1[[#This Row],[Щебень]]&gt;0,Таблица1[[#This Row],[Асфальт]]&gt;0,Таблица1[[#This Row],[Бетон]]&gt;0)</f>
        <v>0</v>
      </c>
      <c r="Q111" s="8">
        <v>110</v>
      </c>
      <c r="S111" s="228"/>
      <c r="T111" s="228"/>
    </row>
    <row r="112" spans="1:20" ht="46.5" x14ac:dyDescent="0.35">
      <c r="A112" s="9">
        <v>111</v>
      </c>
      <c r="B112" s="9" t="s">
        <v>215</v>
      </c>
      <c r="C112" s="9" t="s">
        <v>216</v>
      </c>
      <c r="D112" s="9" t="s">
        <v>538</v>
      </c>
      <c r="E112" s="9">
        <f>Таблица1[[#This Row],[Грунт]]+Таблица1[[#This Row],[Щебень]]+Таблица1[[#This Row],[Асфальт]]+Таблица1[[#This Row],[Бетон]]</f>
        <v>3.5</v>
      </c>
      <c r="F112" s="104">
        <v>2.8</v>
      </c>
      <c r="G112" s="105"/>
      <c r="H112" s="106">
        <v>0.7</v>
      </c>
      <c r="I112" s="107"/>
      <c r="J112" s="165"/>
      <c r="N112" s="8" t="b">
        <f>OR(Таблица1[[#This Row],[Щебень]]&gt;0,Таблица1[[#This Row],[Асфальт]]&gt;0,Таблица1[[#This Row],[Бетон]]&gt;0)</f>
        <v>1</v>
      </c>
      <c r="O112" s="8">
        <v>1</v>
      </c>
      <c r="Q112" s="8">
        <v>111</v>
      </c>
      <c r="S112" s="228"/>
      <c r="T112" s="228"/>
    </row>
    <row r="113" spans="1:20" ht="46.5" x14ac:dyDescent="0.35">
      <c r="A113" s="9">
        <v>112</v>
      </c>
      <c r="B113" s="9" t="s">
        <v>217</v>
      </c>
      <c r="C113" s="9" t="s">
        <v>218</v>
      </c>
      <c r="D113" s="9" t="s">
        <v>538</v>
      </c>
      <c r="E113" s="9">
        <f>Таблица1[[#This Row],[Грунт]]+Таблица1[[#This Row],[Щебень]]+Таблица1[[#This Row],[Асфальт]]+Таблица1[[#This Row],[Бетон]]</f>
        <v>1.8</v>
      </c>
      <c r="F113" s="104">
        <v>1.8</v>
      </c>
      <c r="G113" s="105"/>
      <c r="H113" s="106"/>
      <c r="I113" s="107"/>
      <c r="J113" s="165"/>
      <c r="K113" s="8" t="s">
        <v>558</v>
      </c>
      <c r="N113" s="8" t="b">
        <f>OR(Таблица1[[#This Row],[Щебень]]&gt;0,Таблица1[[#This Row],[Асфальт]]&gt;0,Таблица1[[#This Row],[Бетон]]&gt;0)</f>
        <v>0</v>
      </c>
      <c r="Q113" s="8">
        <v>112</v>
      </c>
      <c r="S113" s="228"/>
      <c r="T113" s="228"/>
    </row>
    <row r="114" spans="1:20" ht="46.5" x14ac:dyDescent="0.35">
      <c r="A114" s="9">
        <v>113</v>
      </c>
      <c r="B114" s="9" t="s">
        <v>219</v>
      </c>
      <c r="C114" s="9" t="s">
        <v>220</v>
      </c>
      <c r="D114" s="9" t="s">
        <v>538</v>
      </c>
      <c r="E114" s="9">
        <f>Таблица1[[#This Row],[Грунт]]+Таблица1[[#This Row],[Щебень]]+Таблица1[[#This Row],[Асфальт]]+Таблица1[[#This Row],[Бетон]]</f>
        <v>0.7</v>
      </c>
      <c r="F114" s="104">
        <v>0.7</v>
      </c>
      <c r="G114" s="105"/>
      <c r="H114" s="106"/>
      <c r="I114" s="107"/>
      <c r="J114" s="165"/>
      <c r="N114" s="8" t="b">
        <f>OR(Таблица1[[#This Row],[Щебень]]&gt;0,Таблица1[[#This Row],[Асфальт]]&gt;0,Таблица1[[#This Row],[Бетон]]&gt;0)</f>
        <v>0</v>
      </c>
      <c r="Q114" s="8">
        <v>113</v>
      </c>
      <c r="S114" s="228"/>
      <c r="T114" s="228"/>
    </row>
    <row r="115" spans="1:20" ht="46.5" x14ac:dyDescent="0.35">
      <c r="A115" s="9">
        <v>114</v>
      </c>
      <c r="B115" s="9" t="s">
        <v>221</v>
      </c>
      <c r="C115" s="9" t="s">
        <v>222</v>
      </c>
      <c r="D115" s="9" t="s">
        <v>538</v>
      </c>
      <c r="E115" s="9">
        <f>Таблица1[[#This Row],[Грунт]]+Таблица1[[#This Row],[Щебень]]+Таблица1[[#This Row],[Асфальт]]+Таблица1[[#This Row],[Бетон]]</f>
        <v>1.5</v>
      </c>
      <c r="F115" s="104">
        <v>1.5</v>
      </c>
      <c r="G115" s="105"/>
      <c r="H115" s="106"/>
      <c r="I115" s="107"/>
      <c r="J115" s="165"/>
      <c r="K115" s="8" t="s">
        <v>558</v>
      </c>
      <c r="N115" s="8" t="b">
        <f>OR(Таблица1[[#This Row],[Щебень]]&gt;0,Таблица1[[#This Row],[Асфальт]]&gt;0,Таблица1[[#This Row],[Бетон]]&gt;0)</f>
        <v>0</v>
      </c>
      <c r="Q115" s="8">
        <v>114</v>
      </c>
      <c r="S115" s="228"/>
      <c r="T115" s="228"/>
    </row>
    <row r="116" spans="1:20" ht="46.5" x14ac:dyDescent="0.35">
      <c r="A116" s="9">
        <v>115</v>
      </c>
      <c r="B116" s="9" t="s">
        <v>223</v>
      </c>
      <c r="C116" s="9" t="s">
        <v>224</v>
      </c>
      <c r="D116" s="9" t="s">
        <v>538</v>
      </c>
      <c r="E116" s="9">
        <f>Таблица1[[#This Row],[Грунт]]+Таблица1[[#This Row],[Щебень]]+Таблица1[[#This Row],[Асфальт]]+Таблица1[[#This Row],[Бетон]]</f>
        <v>1</v>
      </c>
      <c r="F116" s="104">
        <v>1</v>
      </c>
      <c r="G116" s="105"/>
      <c r="H116" s="106"/>
      <c r="I116" s="107"/>
      <c r="J116" s="165"/>
      <c r="N116" s="8" t="b">
        <f>OR(Таблица1[[#This Row],[Щебень]]&gt;0,Таблица1[[#This Row],[Асфальт]]&gt;0,Таблица1[[#This Row],[Бетон]]&gt;0)</f>
        <v>0</v>
      </c>
      <c r="Q116" s="8">
        <v>115</v>
      </c>
      <c r="S116" s="228"/>
      <c r="T116" s="228"/>
    </row>
    <row r="117" spans="1:20" ht="46.5" x14ac:dyDescent="0.35">
      <c r="A117" s="9">
        <v>116</v>
      </c>
      <c r="B117" s="9" t="s">
        <v>225</v>
      </c>
      <c r="C117" s="9" t="s">
        <v>226</v>
      </c>
      <c r="D117" s="9" t="s">
        <v>537</v>
      </c>
      <c r="E117" s="9">
        <f>Таблица1[[#This Row],[Грунт]]+Таблица1[[#This Row],[Щебень]]+Таблица1[[#This Row],[Асфальт]]+Таблица1[[#This Row],[Бетон]]</f>
        <v>5</v>
      </c>
      <c r="F117" s="104">
        <v>3</v>
      </c>
      <c r="G117" s="105">
        <v>1.5</v>
      </c>
      <c r="H117" s="106"/>
      <c r="I117" s="107">
        <v>0.5</v>
      </c>
      <c r="J117" s="165"/>
      <c r="N117" s="8" t="b">
        <f>OR(Таблица1[[#This Row],[Щебень]]&gt;0,Таблица1[[#This Row],[Асфальт]]&gt;0,Таблица1[[#This Row],[Бетон]]&gt;0)</f>
        <v>1</v>
      </c>
      <c r="O117" s="8">
        <v>1</v>
      </c>
      <c r="Q117" s="8">
        <v>116</v>
      </c>
      <c r="S117" s="228"/>
      <c r="T117" s="228"/>
    </row>
    <row r="118" spans="1:20" ht="46.5" x14ac:dyDescent="0.35">
      <c r="A118" s="9">
        <v>117</v>
      </c>
      <c r="B118" s="9" t="s">
        <v>227</v>
      </c>
      <c r="C118" s="9" t="s">
        <v>228</v>
      </c>
      <c r="D118" s="9" t="s">
        <v>537</v>
      </c>
      <c r="E118" s="9">
        <f>Таблица1[[#This Row],[Грунт]]+Таблица1[[#This Row],[Щебень]]+Таблица1[[#This Row],[Асфальт]]+Таблица1[[#This Row],[Бетон]]</f>
        <v>1</v>
      </c>
      <c r="F118" s="104">
        <v>1</v>
      </c>
      <c r="G118" s="105"/>
      <c r="H118" s="106"/>
      <c r="I118" s="107"/>
      <c r="J118" s="165"/>
      <c r="N118" s="8" t="b">
        <f>OR(Таблица1[[#This Row],[Щебень]]&gt;0,Таблица1[[#This Row],[Асфальт]]&gt;0,Таблица1[[#This Row],[Бетон]]&gt;0)</f>
        <v>0</v>
      </c>
      <c r="Q118" s="8">
        <v>117</v>
      </c>
      <c r="S118" s="228"/>
      <c r="T118" s="228"/>
    </row>
    <row r="119" spans="1:20" ht="46.5" x14ac:dyDescent="0.35">
      <c r="A119" s="9">
        <v>118</v>
      </c>
      <c r="B119" s="9" t="s">
        <v>229</v>
      </c>
      <c r="C119" s="9" t="s">
        <v>230</v>
      </c>
      <c r="D119" s="9" t="s">
        <v>537</v>
      </c>
      <c r="E119" s="9">
        <f>Таблица1[[#This Row],[Грунт]]+Таблица1[[#This Row],[Щебень]]+Таблица1[[#This Row],[Асфальт]]+Таблица1[[#This Row],[Бетон]]</f>
        <v>1.1000000000000001</v>
      </c>
      <c r="F119" s="104">
        <v>1.1000000000000001</v>
      </c>
      <c r="G119" s="105"/>
      <c r="H119" s="106"/>
      <c r="I119" s="107"/>
      <c r="J119" s="165"/>
      <c r="N119" s="8" t="b">
        <f>OR(Таблица1[[#This Row],[Щебень]]&gt;0,Таблица1[[#This Row],[Асфальт]]&gt;0,Таблица1[[#This Row],[Бетон]]&gt;0)</f>
        <v>0</v>
      </c>
      <c r="Q119" s="8">
        <v>118</v>
      </c>
      <c r="S119" s="228"/>
      <c r="T119" s="228"/>
    </row>
    <row r="120" spans="1:20" ht="46.5" x14ac:dyDescent="0.35">
      <c r="A120" s="9">
        <v>119</v>
      </c>
      <c r="B120" s="9" t="s">
        <v>231</v>
      </c>
      <c r="C120" s="9" t="s">
        <v>232</v>
      </c>
      <c r="D120" s="9" t="s">
        <v>539</v>
      </c>
      <c r="E120" s="9">
        <f>Таблица1[[#This Row],[Грунт]]+Таблица1[[#This Row],[Щебень]]+Таблица1[[#This Row],[Асфальт]]+Таблица1[[#This Row],[Бетон]]</f>
        <v>1.5</v>
      </c>
      <c r="F120" s="104">
        <v>1</v>
      </c>
      <c r="G120" s="105">
        <v>0.5</v>
      </c>
      <c r="H120" s="106"/>
      <c r="I120" s="107"/>
      <c r="J120" s="165"/>
      <c r="N120" s="8" t="b">
        <f>OR(Таблица1[[#This Row],[Щебень]]&gt;0,Таблица1[[#This Row],[Асфальт]]&gt;0,Таблица1[[#This Row],[Бетон]]&gt;0)</f>
        <v>1</v>
      </c>
      <c r="O120" s="8">
        <v>1</v>
      </c>
      <c r="Q120" s="8">
        <v>119</v>
      </c>
      <c r="S120" s="228"/>
      <c r="T120" s="228"/>
    </row>
    <row r="121" spans="1:20" ht="46.5" x14ac:dyDescent="0.35">
      <c r="A121" s="9">
        <v>120</v>
      </c>
      <c r="B121" s="9" t="s">
        <v>233</v>
      </c>
      <c r="C121" s="9" t="s">
        <v>234</v>
      </c>
      <c r="D121" s="9" t="s">
        <v>539</v>
      </c>
      <c r="E121" s="9">
        <f>Таблица1[[#This Row],[Грунт]]+Таблица1[[#This Row],[Щебень]]+Таблица1[[#This Row],[Асфальт]]+Таблица1[[#This Row],[Бетон]]</f>
        <v>3.0859999999999999</v>
      </c>
      <c r="F121" s="104"/>
      <c r="G121" s="121"/>
      <c r="H121" s="131">
        <v>3.0859999999999999</v>
      </c>
      <c r="I121" s="107"/>
      <c r="J121" s="165"/>
      <c r="K121" s="10" t="s">
        <v>557</v>
      </c>
      <c r="N121" s="8" t="b">
        <f>OR(Таблица1[[#This Row],[Щебень]]&gt;0,Таблица1[[#This Row],[Асфальт]]&gt;0,Таблица1[[#This Row],[Бетон]]&gt;0)</f>
        <v>1</v>
      </c>
      <c r="O121" s="8">
        <v>1</v>
      </c>
      <c r="Q121" s="8">
        <v>120</v>
      </c>
      <c r="S121" s="228"/>
      <c r="T121" s="228"/>
    </row>
    <row r="122" spans="1:20" ht="46.5" x14ac:dyDescent="0.35">
      <c r="A122" s="9">
        <v>121</v>
      </c>
      <c r="B122" s="9" t="s">
        <v>235</v>
      </c>
      <c r="C122" s="9" t="s">
        <v>236</v>
      </c>
      <c r="D122" s="9" t="s">
        <v>539</v>
      </c>
      <c r="E122" s="9">
        <f>Таблица1[[#This Row],[Грунт]]+Таблица1[[#This Row],[Щебень]]+Таблица1[[#This Row],[Асфальт]]+Таблица1[[#This Row],[Бетон]]</f>
        <v>0.5</v>
      </c>
      <c r="F122" s="104">
        <v>0.5</v>
      </c>
      <c r="G122" s="105"/>
      <c r="H122" s="106"/>
      <c r="I122" s="107"/>
      <c r="J122" s="165"/>
      <c r="N122" s="8" t="b">
        <f>OR(Таблица1[[#This Row],[Щебень]]&gt;0,Таблица1[[#This Row],[Асфальт]]&gt;0,Таблица1[[#This Row],[Бетон]]&gt;0)</f>
        <v>0</v>
      </c>
      <c r="Q122" s="8">
        <v>121</v>
      </c>
      <c r="S122" s="228"/>
      <c r="T122" s="228"/>
    </row>
    <row r="123" spans="1:20" ht="46.5" x14ac:dyDescent="0.35">
      <c r="A123" s="9">
        <v>122</v>
      </c>
      <c r="B123" s="9" t="s">
        <v>237</v>
      </c>
      <c r="C123" s="9" t="s">
        <v>238</v>
      </c>
      <c r="D123" s="9" t="s">
        <v>539</v>
      </c>
      <c r="E123" s="9">
        <f>Таблица1[[#This Row],[Грунт]]+Таблица1[[#This Row],[Щебень]]+Таблица1[[#This Row],[Асфальт]]+Таблица1[[#This Row],[Бетон]]</f>
        <v>1</v>
      </c>
      <c r="F123" s="104">
        <v>1</v>
      </c>
      <c r="G123" s="105"/>
      <c r="H123" s="106"/>
      <c r="I123" s="107"/>
      <c r="J123" s="165"/>
      <c r="N123" s="8" t="b">
        <f>OR(Таблица1[[#This Row],[Щебень]]&gt;0,Таблица1[[#This Row],[Асфальт]]&gt;0,Таблица1[[#This Row],[Бетон]]&gt;0)</f>
        <v>0</v>
      </c>
      <c r="Q123" s="8">
        <v>122</v>
      </c>
      <c r="S123" s="228"/>
      <c r="T123" s="228"/>
    </row>
    <row r="124" spans="1:20" ht="46.5" x14ac:dyDescent="0.35">
      <c r="A124" s="9">
        <v>123</v>
      </c>
      <c r="B124" s="9" t="s">
        <v>239</v>
      </c>
      <c r="C124" s="9" t="s">
        <v>240</v>
      </c>
      <c r="D124" s="9" t="s">
        <v>539</v>
      </c>
      <c r="E124" s="9">
        <f>Таблица1[[#This Row],[Грунт]]+Таблица1[[#This Row],[Щебень]]+Таблица1[[#This Row],[Асфальт]]+Таблица1[[#This Row],[Бетон]]</f>
        <v>1</v>
      </c>
      <c r="F124" s="104">
        <v>1</v>
      </c>
      <c r="G124" s="105"/>
      <c r="H124" s="106"/>
      <c r="I124" s="107"/>
      <c r="J124" s="165"/>
      <c r="N124" s="8" t="b">
        <f>OR(Таблица1[[#This Row],[Щебень]]&gt;0,Таблица1[[#This Row],[Асфальт]]&gt;0,Таблица1[[#This Row],[Бетон]]&gt;0)</f>
        <v>0</v>
      </c>
      <c r="Q124" s="8">
        <v>123</v>
      </c>
      <c r="S124" s="228"/>
      <c r="T124" s="228"/>
    </row>
    <row r="125" spans="1:20" ht="46.5" x14ac:dyDescent="0.35">
      <c r="A125" s="9">
        <v>124</v>
      </c>
      <c r="B125" s="9" t="s">
        <v>241</v>
      </c>
      <c r="C125" s="9" t="s">
        <v>242</v>
      </c>
      <c r="D125" s="9" t="s">
        <v>539</v>
      </c>
      <c r="E125" s="9">
        <f>Таблица1[[#This Row],[Грунт]]+Таблица1[[#This Row],[Щебень]]+Таблица1[[#This Row],[Асфальт]]+Таблица1[[#This Row],[Бетон]]</f>
        <v>0.8</v>
      </c>
      <c r="F125" s="104">
        <v>0.8</v>
      </c>
      <c r="G125" s="105"/>
      <c r="H125" s="106"/>
      <c r="I125" s="107"/>
      <c r="J125" s="165"/>
      <c r="N125" s="8" t="b">
        <f>OR(Таблица1[[#This Row],[Щебень]]&gt;0,Таблица1[[#This Row],[Асфальт]]&gt;0,Таблица1[[#This Row],[Бетон]]&gt;0)</f>
        <v>0</v>
      </c>
      <c r="Q125" s="8">
        <v>124</v>
      </c>
      <c r="S125" s="228"/>
      <c r="T125" s="228"/>
    </row>
    <row r="126" spans="1:20" ht="46.5" x14ac:dyDescent="0.35">
      <c r="A126" s="9">
        <v>125</v>
      </c>
      <c r="B126" s="9" t="s">
        <v>243</v>
      </c>
      <c r="C126" s="9" t="s">
        <v>244</v>
      </c>
      <c r="D126" s="9" t="s">
        <v>539</v>
      </c>
      <c r="E126" s="9">
        <f>Таблица1[[#This Row],[Грунт]]+Таблица1[[#This Row],[Щебень]]+Таблица1[[#This Row],[Асфальт]]+Таблица1[[#This Row],[Бетон]]</f>
        <v>1</v>
      </c>
      <c r="F126" s="104">
        <v>0.2</v>
      </c>
      <c r="G126" s="105">
        <v>0.8</v>
      </c>
      <c r="H126" s="106"/>
      <c r="I126" s="107"/>
      <c r="J126" s="165"/>
      <c r="N126" s="8" t="b">
        <f>OR(Таблица1[[#This Row],[Щебень]]&gt;0,Таблица1[[#This Row],[Асфальт]]&gt;0,Таблица1[[#This Row],[Бетон]]&gt;0)</f>
        <v>1</v>
      </c>
      <c r="O126" s="8">
        <v>1</v>
      </c>
      <c r="Q126" s="8">
        <v>125</v>
      </c>
      <c r="S126" s="228"/>
      <c r="T126" s="228"/>
    </row>
    <row r="127" spans="1:20" ht="46.5" x14ac:dyDescent="0.35">
      <c r="A127" s="9">
        <v>126</v>
      </c>
      <c r="B127" s="9" t="s">
        <v>245</v>
      </c>
      <c r="C127" s="9" t="s">
        <v>246</v>
      </c>
      <c r="D127" s="9" t="s">
        <v>539</v>
      </c>
      <c r="E127" s="9">
        <f>Таблица1[[#This Row],[Грунт]]+Таблица1[[#This Row],[Щебень]]+Таблица1[[#This Row],[Асфальт]]+Таблица1[[#This Row],[Бетон]]</f>
        <v>1.5</v>
      </c>
      <c r="F127" s="104">
        <v>1</v>
      </c>
      <c r="G127" s="105"/>
      <c r="H127" s="106">
        <v>0.5</v>
      </c>
      <c r="I127" s="107"/>
      <c r="J127" s="165"/>
      <c r="N127" s="8" t="b">
        <f>OR(Таблица1[[#This Row],[Щебень]]&gt;0,Таблица1[[#This Row],[Асфальт]]&gt;0,Таблица1[[#This Row],[Бетон]]&gt;0)</f>
        <v>1</v>
      </c>
      <c r="O127" s="8">
        <v>1</v>
      </c>
      <c r="Q127" s="8">
        <v>126</v>
      </c>
      <c r="S127" s="228"/>
      <c r="T127" s="228"/>
    </row>
    <row r="128" spans="1:20" ht="46.5" x14ac:dyDescent="0.35">
      <c r="A128" s="9">
        <v>127</v>
      </c>
      <c r="B128" s="9" t="s">
        <v>247</v>
      </c>
      <c r="C128" s="9" t="s">
        <v>248</v>
      </c>
      <c r="D128" s="9" t="s">
        <v>539</v>
      </c>
      <c r="E128" s="9">
        <f>Таблица1[[#This Row],[Грунт]]+Таблица1[[#This Row],[Щебень]]+Таблица1[[#This Row],[Асфальт]]+Таблица1[[#This Row],[Бетон]]</f>
        <v>0.8</v>
      </c>
      <c r="F128" s="104">
        <v>0.8</v>
      </c>
      <c r="G128" s="105"/>
      <c r="H128" s="106"/>
      <c r="I128" s="107"/>
      <c r="J128" s="165"/>
      <c r="N128" s="8" t="b">
        <f>OR(Таблица1[[#This Row],[Щебень]]&gt;0,Таблица1[[#This Row],[Асфальт]]&gt;0,Таблица1[[#This Row],[Бетон]]&gt;0)</f>
        <v>0</v>
      </c>
      <c r="Q128" s="8">
        <v>127</v>
      </c>
      <c r="S128" s="228"/>
      <c r="T128" s="228"/>
    </row>
    <row r="129" spans="1:20" ht="46.5" x14ac:dyDescent="0.35">
      <c r="A129" s="9">
        <v>128</v>
      </c>
      <c r="B129" s="9" t="s">
        <v>249</v>
      </c>
      <c r="C129" s="9" t="s">
        <v>250</v>
      </c>
      <c r="D129" s="9" t="s">
        <v>539</v>
      </c>
      <c r="E129" s="9">
        <f>Таблица1[[#This Row],[Грунт]]+Таблица1[[#This Row],[Щебень]]+Таблица1[[#This Row],[Асфальт]]+Таблица1[[#This Row],[Бетон]]</f>
        <v>1</v>
      </c>
      <c r="F129" s="104">
        <v>0.7</v>
      </c>
      <c r="G129" s="105">
        <v>0.3</v>
      </c>
      <c r="H129" s="106"/>
      <c r="I129" s="107"/>
      <c r="J129" s="165"/>
      <c r="N129" s="8" t="b">
        <f>OR(Таблица1[[#This Row],[Щебень]]&gt;0,Таблица1[[#This Row],[Асфальт]]&gt;0,Таблица1[[#This Row],[Бетон]]&gt;0)</f>
        <v>1</v>
      </c>
      <c r="O129" s="8">
        <v>1</v>
      </c>
      <c r="Q129" s="8">
        <v>128</v>
      </c>
      <c r="S129" s="228"/>
      <c r="T129" s="228"/>
    </row>
    <row r="130" spans="1:20" ht="46.5" x14ac:dyDescent="0.35">
      <c r="A130" s="9">
        <v>129</v>
      </c>
      <c r="B130" s="9" t="s">
        <v>251</v>
      </c>
      <c r="C130" s="9" t="s">
        <v>252</v>
      </c>
      <c r="D130" s="9" t="s">
        <v>539</v>
      </c>
      <c r="E130" s="9">
        <f>Таблица1[[#This Row],[Грунт]]+Таблица1[[#This Row],[Щебень]]+Таблица1[[#This Row],[Асфальт]]+Таблица1[[#This Row],[Бетон]]</f>
        <v>0.8</v>
      </c>
      <c r="F130" s="104">
        <v>0.8</v>
      </c>
      <c r="G130" s="105"/>
      <c r="H130" s="106"/>
      <c r="I130" s="107"/>
      <c r="J130" s="165"/>
      <c r="N130" s="8" t="b">
        <f>OR(Таблица1[[#This Row],[Щебень]]&gt;0,Таблица1[[#This Row],[Асфальт]]&gt;0,Таблица1[[#This Row],[Бетон]]&gt;0)</f>
        <v>0</v>
      </c>
      <c r="Q130" s="8">
        <v>129</v>
      </c>
      <c r="S130" s="228"/>
      <c r="T130" s="228"/>
    </row>
    <row r="131" spans="1:20" ht="46.5" x14ac:dyDescent="0.35">
      <c r="A131" s="9">
        <v>130</v>
      </c>
      <c r="B131" s="9" t="s">
        <v>253</v>
      </c>
      <c r="C131" s="9" t="s">
        <v>254</v>
      </c>
      <c r="D131" s="9" t="s">
        <v>539</v>
      </c>
      <c r="E131" s="9">
        <f>Таблица1[[#This Row],[Грунт]]+Таблица1[[#This Row],[Щебень]]+Таблица1[[#This Row],[Асфальт]]+Таблица1[[#This Row],[Бетон]]</f>
        <v>1.5</v>
      </c>
      <c r="F131" s="104">
        <v>1.5</v>
      </c>
      <c r="G131" s="105"/>
      <c r="H131" s="106"/>
      <c r="I131" s="107"/>
      <c r="J131" s="165"/>
      <c r="N131" s="8" t="b">
        <f>OR(Таблица1[[#This Row],[Щебень]]&gt;0,Таблица1[[#This Row],[Асфальт]]&gt;0,Таблица1[[#This Row],[Бетон]]&gt;0)</f>
        <v>0</v>
      </c>
      <c r="Q131" s="8">
        <v>130</v>
      </c>
      <c r="S131" s="228"/>
      <c r="T131" s="228"/>
    </row>
    <row r="132" spans="1:20" ht="46.5" x14ac:dyDescent="0.35">
      <c r="A132" s="9">
        <v>131</v>
      </c>
      <c r="B132" s="9" t="s">
        <v>255</v>
      </c>
      <c r="C132" s="9" t="s">
        <v>256</v>
      </c>
      <c r="D132" s="9" t="s">
        <v>539</v>
      </c>
      <c r="E132" s="9">
        <f>Таблица1[[#This Row],[Грунт]]+Таблица1[[#This Row],[Щебень]]+Таблица1[[#This Row],[Асфальт]]+Таблица1[[#This Row],[Бетон]]</f>
        <v>0.8</v>
      </c>
      <c r="F132" s="104">
        <v>0.8</v>
      </c>
      <c r="G132" s="105"/>
      <c r="H132" s="106"/>
      <c r="I132" s="107"/>
      <c r="J132" s="165"/>
      <c r="N132" s="8" t="b">
        <f>OR(Таблица1[[#This Row],[Щебень]]&gt;0,Таблица1[[#This Row],[Асфальт]]&gt;0,Таблица1[[#This Row],[Бетон]]&gt;0)</f>
        <v>0</v>
      </c>
      <c r="Q132" s="8">
        <v>131</v>
      </c>
      <c r="S132" s="228"/>
      <c r="T132" s="228"/>
    </row>
    <row r="133" spans="1:20" ht="46.5" x14ac:dyDescent="0.35">
      <c r="A133" s="9">
        <v>132</v>
      </c>
      <c r="B133" s="9" t="s">
        <v>257</v>
      </c>
      <c r="C133" s="9" t="s">
        <v>258</v>
      </c>
      <c r="D133" s="9" t="s">
        <v>539</v>
      </c>
      <c r="E133" s="9">
        <f>Таблица1[[#This Row],[Грунт]]+Таблица1[[#This Row],[Щебень]]+Таблица1[[#This Row],[Асфальт]]+Таблица1[[#This Row],[Бетон]]</f>
        <v>0.5</v>
      </c>
      <c r="F133" s="104">
        <v>0.5</v>
      </c>
      <c r="G133" s="105"/>
      <c r="H133" s="106"/>
      <c r="I133" s="107"/>
      <c r="J133" s="165"/>
      <c r="N133" s="8" t="b">
        <f>OR(Таблица1[[#This Row],[Щебень]]&gt;0,Таблица1[[#This Row],[Асфальт]]&gt;0,Таблица1[[#This Row],[Бетон]]&gt;0)</f>
        <v>0</v>
      </c>
      <c r="Q133" s="8">
        <v>132</v>
      </c>
      <c r="S133" s="228"/>
      <c r="T133" s="228"/>
    </row>
    <row r="134" spans="1:20" ht="46.5" x14ac:dyDescent="0.35">
      <c r="A134" s="9">
        <v>133</v>
      </c>
      <c r="B134" s="9" t="s">
        <v>259</v>
      </c>
      <c r="C134" s="9" t="s">
        <v>260</v>
      </c>
      <c r="D134" s="9" t="s">
        <v>539</v>
      </c>
      <c r="E134" s="9">
        <f>Таблица1[[#This Row],[Грунт]]+Таблица1[[#This Row],[Щебень]]+Таблица1[[#This Row],[Асфальт]]+Таблица1[[#This Row],[Бетон]]</f>
        <v>0.5</v>
      </c>
      <c r="F134" s="104">
        <v>0.5</v>
      </c>
      <c r="G134" s="105"/>
      <c r="H134" s="106"/>
      <c r="I134" s="107"/>
      <c r="J134" s="165"/>
      <c r="N134" s="8" t="b">
        <f>OR(Таблица1[[#This Row],[Щебень]]&gt;0,Таблица1[[#This Row],[Асфальт]]&gt;0,Таблица1[[#This Row],[Бетон]]&gt;0)</f>
        <v>0</v>
      </c>
      <c r="Q134" s="8">
        <v>133</v>
      </c>
      <c r="S134" s="228"/>
      <c r="T134" s="228"/>
    </row>
    <row r="135" spans="1:20" ht="46.5" x14ac:dyDescent="0.35">
      <c r="A135" s="9">
        <v>134</v>
      </c>
      <c r="B135" s="9" t="s">
        <v>261</v>
      </c>
      <c r="C135" s="9" t="s">
        <v>560</v>
      </c>
      <c r="D135" s="9" t="s">
        <v>539</v>
      </c>
      <c r="E135" s="9">
        <f>Таблица1[[#This Row],[Грунт]]+Таблица1[[#This Row],[Щебень]]+Таблица1[[#This Row],[Асфальт]]+Таблица1[[#This Row],[Бетон]]</f>
        <v>0.5</v>
      </c>
      <c r="F135" s="104">
        <v>0.5</v>
      </c>
      <c r="G135" s="105"/>
      <c r="H135" s="106"/>
      <c r="I135" s="107"/>
      <c r="J135" s="165"/>
      <c r="N135" s="8" t="b">
        <f>OR(Таблица1[[#This Row],[Щебень]]&gt;0,Таблица1[[#This Row],[Асфальт]]&gt;0,Таблица1[[#This Row],[Бетон]]&gt;0)</f>
        <v>0</v>
      </c>
      <c r="Q135" s="8">
        <v>134</v>
      </c>
      <c r="S135" s="228"/>
      <c r="T135" s="228"/>
    </row>
    <row r="136" spans="1:20" ht="46.5" x14ac:dyDescent="0.35">
      <c r="A136" s="9">
        <v>135</v>
      </c>
      <c r="B136" s="9" t="s">
        <v>262</v>
      </c>
      <c r="C136" s="9" t="s">
        <v>263</v>
      </c>
      <c r="D136" s="9" t="s">
        <v>539</v>
      </c>
      <c r="E136" s="9">
        <f>Таблица1[[#This Row],[Грунт]]+Таблица1[[#This Row],[Щебень]]+Таблица1[[#This Row],[Асфальт]]+Таблица1[[#This Row],[Бетон]]</f>
        <v>0.5</v>
      </c>
      <c r="F136" s="104">
        <v>0.5</v>
      </c>
      <c r="G136" s="105"/>
      <c r="H136" s="106"/>
      <c r="I136" s="107"/>
      <c r="J136" s="165"/>
      <c r="N136" s="8" t="b">
        <f>OR(Таблица1[[#This Row],[Щебень]]&gt;0,Таблица1[[#This Row],[Асфальт]]&gt;0,Таблица1[[#This Row],[Бетон]]&gt;0)</f>
        <v>0</v>
      </c>
      <c r="Q136" s="8">
        <v>135</v>
      </c>
      <c r="S136" s="228"/>
      <c r="T136" s="228"/>
    </row>
    <row r="137" spans="1:20" ht="46.5" x14ac:dyDescent="0.35">
      <c r="A137" s="9">
        <v>136</v>
      </c>
      <c r="B137" s="9" t="s">
        <v>264</v>
      </c>
      <c r="C137" s="9" t="s">
        <v>265</v>
      </c>
      <c r="D137" s="9" t="s">
        <v>539</v>
      </c>
      <c r="E137" s="9">
        <f>Таблица1[[#This Row],[Грунт]]+Таблица1[[#This Row],[Щебень]]+Таблица1[[#This Row],[Асфальт]]+Таблица1[[#This Row],[Бетон]]</f>
        <v>0.5</v>
      </c>
      <c r="F137" s="104">
        <v>0.5</v>
      </c>
      <c r="G137" s="105"/>
      <c r="H137" s="106"/>
      <c r="I137" s="107"/>
      <c r="J137" s="165"/>
      <c r="N137" s="8" t="b">
        <f>OR(Таблица1[[#This Row],[Щебень]]&gt;0,Таблица1[[#This Row],[Асфальт]]&gt;0,Таблица1[[#This Row],[Бетон]]&gt;0)</f>
        <v>0</v>
      </c>
      <c r="Q137" s="8">
        <v>136</v>
      </c>
      <c r="S137" s="228"/>
      <c r="T137" s="228"/>
    </row>
    <row r="138" spans="1:20" ht="46.5" x14ac:dyDescent="0.35">
      <c r="A138" s="9">
        <v>137</v>
      </c>
      <c r="B138" s="9" t="s">
        <v>266</v>
      </c>
      <c r="C138" s="9" t="s">
        <v>267</v>
      </c>
      <c r="D138" s="9" t="s">
        <v>540</v>
      </c>
      <c r="E138" s="9">
        <f>Таблица1[[#This Row],[Грунт]]+Таблица1[[#This Row],[Щебень]]+Таблица1[[#This Row],[Асфальт]]+Таблица1[[#This Row],[Бетон]]</f>
        <v>3.3</v>
      </c>
      <c r="F138" s="104"/>
      <c r="G138" s="105">
        <v>3</v>
      </c>
      <c r="H138" s="106">
        <v>0.3</v>
      </c>
      <c r="I138" s="107"/>
      <c r="J138" s="165"/>
      <c r="N138" s="8" t="b">
        <f>OR(Таблица1[[#This Row],[Щебень]]&gt;0,Таблица1[[#This Row],[Асфальт]]&gt;0,Таблица1[[#This Row],[Бетон]]&gt;0)</f>
        <v>1</v>
      </c>
      <c r="O138" s="8">
        <v>1</v>
      </c>
      <c r="Q138" s="8">
        <v>137</v>
      </c>
      <c r="S138" s="228"/>
      <c r="T138" s="228"/>
    </row>
    <row r="139" spans="1:20" ht="46.5" x14ac:dyDescent="0.35">
      <c r="A139" s="9">
        <v>138</v>
      </c>
      <c r="B139" s="9" t="s">
        <v>268</v>
      </c>
      <c r="C139" s="9" t="s">
        <v>269</v>
      </c>
      <c r="D139" s="9" t="s">
        <v>540</v>
      </c>
      <c r="E139" s="9">
        <f>Таблица1[[#This Row],[Грунт]]+Таблица1[[#This Row],[Щебень]]+Таблица1[[#This Row],[Асфальт]]+Таблица1[[#This Row],[Бетон]]</f>
        <v>1</v>
      </c>
      <c r="F139" s="104">
        <v>1</v>
      </c>
      <c r="G139" s="105"/>
      <c r="H139" s="106"/>
      <c r="I139" s="107"/>
      <c r="J139" s="165"/>
      <c r="N139" s="8" t="b">
        <f>OR(Таблица1[[#This Row],[Щебень]]&gt;0,Таблица1[[#This Row],[Асфальт]]&gt;0,Таблица1[[#This Row],[Бетон]]&gt;0)</f>
        <v>0</v>
      </c>
      <c r="Q139" s="8">
        <v>138</v>
      </c>
      <c r="S139" s="228"/>
      <c r="T139" s="228"/>
    </row>
    <row r="140" spans="1:20" ht="46.5" x14ac:dyDescent="0.35">
      <c r="A140" s="9">
        <v>139</v>
      </c>
      <c r="B140" s="9" t="s">
        <v>270</v>
      </c>
      <c r="C140" s="9" t="s">
        <v>271</v>
      </c>
      <c r="D140" s="9" t="s">
        <v>540</v>
      </c>
      <c r="E140" s="9">
        <f>Таблица1[[#This Row],[Грунт]]+Таблица1[[#This Row],[Щебень]]+Таблица1[[#This Row],[Асфальт]]+Таблица1[[#This Row],[Бетон]]</f>
        <v>1.1000000000000001</v>
      </c>
      <c r="F140" s="104">
        <v>1.1000000000000001</v>
      </c>
      <c r="G140" s="105"/>
      <c r="H140" s="106"/>
      <c r="I140" s="107"/>
      <c r="J140" s="165"/>
      <c r="N140" s="8" t="b">
        <f>OR(Таблица1[[#This Row],[Щебень]]&gt;0,Таблица1[[#This Row],[Асфальт]]&gt;0,Таблица1[[#This Row],[Бетон]]&gt;0)</f>
        <v>0</v>
      </c>
      <c r="Q140" s="8">
        <v>139</v>
      </c>
      <c r="S140" s="228"/>
      <c r="T140" s="228"/>
    </row>
    <row r="141" spans="1:20" ht="46.5" x14ac:dyDescent="0.35">
      <c r="A141" s="9">
        <v>140</v>
      </c>
      <c r="B141" s="9" t="s">
        <v>272</v>
      </c>
      <c r="C141" s="9" t="s">
        <v>273</v>
      </c>
      <c r="D141" s="9" t="s">
        <v>540</v>
      </c>
      <c r="E141" s="9">
        <f>Таблица1[[#This Row],[Грунт]]+Таблица1[[#This Row],[Щебень]]+Таблица1[[#This Row],[Асфальт]]+Таблица1[[#This Row],[Бетон]]</f>
        <v>2.2000000000000002</v>
      </c>
      <c r="F141" s="104">
        <v>1.2</v>
      </c>
      <c r="G141" s="105">
        <v>1</v>
      </c>
      <c r="H141" s="106"/>
      <c r="I141" s="107"/>
      <c r="J141" s="165"/>
      <c r="K141" s="10" t="s">
        <v>557</v>
      </c>
      <c r="N141" s="8" t="b">
        <f>OR(Таблица1[[#This Row],[Щебень]]&gt;0,Таблица1[[#This Row],[Асфальт]]&gt;0,Таблица1[[#This Row],[Бетон]]&gt;0)</f>
        <v>1</v>
      </c>
      <c r="O141" s="8">
        <v>1</v>
      </c>
      <c r="Q141" s="8">
        <v>140</v>
      </c>
      <c r="S141" s="228"/>
      <c r="T141" s="228"/>
    </row>
    <row r="142" spans="1:20" ht="46.5" x14ac:dyDescent="0.35">
      <c r="A142" s="9">
        <v>141</v>
      </c>
      <c r="B142" s="9" t="s">
        <v>274</v>
      </c>
      <c r="C142" s="9" t="s">
        <v>275</v>
      </c>
      <c r="D142" s="9" t="s">
        <v>540</v>
      </c>
      <c r="E142" s="9">
        <f>Таблица1[[#This Row],[Грунт]]+Таблица1[[#This Row],[Щебень]]+Таблица1[[#This Row],[Асфальт]]+Таблица1[[#This Row],[Бетон]]</f>
        <v>1.7</v>
      </c>
      <c r="F142" s="104">
        <v>1</v>
      </c>
      <c r="G142" s="105">
        <v>0.7</v>
      </c>
      <c r="H142" s="106"/>
      <c r="I142" s="107"/>
      <c r="J142" s="165"/>
      <c r="K142" s="10" t="s">
        <v>557</v>
      </c>
      <c r="N142" s="8" t="b">
        <f>OR(Таблица1[[#This Row],[Щебень]]&gt;0,Таблица1[[#This Row],[Асфальт]]&gt;0,Таблица1[[#This Row],[Бетон]]&gt;0)</f>
        <v>1</v>
      </c>
      <c r="O142" s="8">
        <v>1</v>
      </c>
      <c r="Q142" s="8">
        <v>141</v>
      </c>
      <c r="S142" s="228"/>
      <c r="T142" s="228"/>
    </row>
    <row r="143" spans="1:20" ht="46.5" x14ac:dyDescent="0.35">
      <c r="A143" s="9">
        <v>142</v>
      </c>
      <c r="B143" s="9" t="s">
        <v>276</v>
      </c>
      <c r="C143" s="9" t="s">
        <v>277</v>
      </c>
      <c r="D143" s="9" t="s">
        <v>540</v>
      </c>
      <c r="E143" s="9">
        <f>Таблица1[[#This Row],[Грунт]]+Таблица1[[#This Row],[Щебень]]+Таблица1[[#This Row],[Асфальт]]+Таблица1[[#This Row],[Бетон]]</f>
        <v>1.7</v>
      </c>
      <c r="F143" s="104">
        <v>1.7</v>
      </c>
      <c r="G143" s="105"/>
      <c r="H143" s="106"/>
      <c r="I143" s="107"/>
      <c r="J143" s="165"/>
      <c r="K143" s="10" t="s">
        <v>557</v>
      </c>
      <c r="N143" s="8" t="b">
        <f>OR(Таблица1[[#This Row],[Щебень]]&gt;0,Таблица1[[#This Row],[Асфальт]]&gt;0,Таблица1[[#This Row],[Бетон]]&gt;0)</f>
        <v>0</v>
      </c>
      <c r="Q143" s="8">
        <v>142</v>
      </c>
      <c r="S143" s="228"/>
      <c r="T143" s="228"/>
    </row>
    <row r="144" spans="1:20" ht="46.5" x14ac:dyDescent="0.35">
      <c r="A144" s="9">
        <v>143</v>
      </c>
      <c r="B144" s="9" t="s">
        <v>278</v>
      </c>
      <c r="C144" s="9" t="s">
        <v>279</v>
      </c>
      <c r="D144" s="9" t="s">
        <v>540</v>
      </c>
      <c r="E144" s="9">
        <f>Таблица1[[#This Row],[Грунт]]+Таблица1[[#This Row],[Щебень]]+Таблица1[[#This Row],[Асфальт]]+Таблица1[[#This Row],[Бетон]]</f>
        <v>1.4</v>
      </c>
      <c r="F144" s="104">
        <v>1.4</v>
      </c>
      <c r="G144" s="105"/>
      <c r="H144" s="106"/>
      <c r="I144" s="107"/>
      <c r="J144" s="165"/>
      <c r="K144" s="10" t="s">
        <v>557</v>
      </c>
      <c r="N144" s="8" t="b">
        <f>OR(Таблица1[[#This Row],[Щебень]]&gt;0,Таблица1[[#This Row],[Асфальт]]&gt;0,Таблица1[[#This Row],[Бетон]]&gt;0)</f>
        <v>0</v>
      </c>
      <c r="Q144" s="8">
        <v>143</v>
      </c>
      <c r="S144" s="228"/>
      <c r="T144" s="228"/>
    </row>
    <row r="145" spans="1:20" ht="46.5" x14ac:dyDescent="0.35">
      <c r="A145" s="9">
        <v>144</v>
      </c>
      <c r="B145" s="9" t="s">
        <v>280</v>
      </c>
      <c r="C145" s="9" t="s">
        <v>281</v>
      </c>
      <c r="D145" s="9" t="s">
        <v>571</v>
      </c>
      <c r="E145" s="115">
        <f>Таблица1[[#This Row],[Грунт]]+Таблица1[[#This Row],[Щебень]]+Таблица1[[#This Row],[Асфальт]]+Таблица1[[#This Row],[Бетон]]</f>
        <v>6.1000000000000005</v>
      </c>
      <c r="F145" s="104">
        <v>4.2</v>
      </c>
      <c r="G145" s="105">
        <v>0.4</v>
      </c>
      <c r="H145" s="106">
        <v>0.6</v>
      </c>
      <c r="I145" s="107">
        <v>0.9</v>
      </c>
      <c r="J145" s="165"/>
      <c r="K145" s="10" t="s">
        <v>557</v>
      </c>
      <c r="N145" s="8" t="b">
        <f>OR(Таблица1[[#This Row],[Щебень]]&gt;0,Таблица1[[#This Row],[Асфальт]]&gt;0,Таблица1[[#This Row],[Бетон]]&gt;0)</f>
        <v>1</v>
      </c>
      <c r="O145" s="8">
        <v>1</v>
      </c>
      <c r="Q145" s="8">
        <v>144</v>
      </c>
      <c r="S145" s="228"/>
      <c r="T145" s="228"/>
    </row>
    <row r="146" spans="1:20" ht="46.5" x14ac:dyDescent="0.35">
      <c r="A146" s="9">
        <v>145</v>
      </c>
      <c r="B146" s="9" t="s">
        <v>282</v>
      </c>
      <c r="C146" s="9" t="s">
        <v>283</v>
      </c>
      <c r="D146" s="9" t="s">
        <v>571</v>
      </c>
      <c r="E146" s="115">
        <f>Таблица1[[#This Row],[Грунт]]+Таблица1[[#This Row],[Щебень]]+Таблица1[[#This Row],[Асфальт]]+Таблица1[[#This Row],[Бетон]]</f>
        <v>1.5</v>
      </c>
      <c r="F146" s="104">
        <v>1.5</v>
      </c>
      <c r="G146" s="105"/>
      <c r="H146" s="106"/>
      <c r="I146" s="107"/>
      <c r="J146" s="165"/>
      <c r="N146" s="8" t="b">
        <f>OR(Таблица1[[#This Row],[Щебень]]&gt;0,Таблица1[[#This Row],[Асфальт]]&gt;0,Таблица1[[#This Row],[Бетон]]&gt;0)</f>
        <v>0</v>
      </c>
      <c r="Q146" s="8">
        <v>145</v>
      </c>
      <c r="S146" s="228"/>
      <c r="T146" s="228"/>
    </row>
    <row r="147" spans="1:20" ht="46.5" x14ac:dyDescent="0.35">
      <c r="A147" s="9">
        <v>146</v>
      </c>
      <c r="B147" s="9" t="s">
        <v>284</v>
      </c>
      <c r="C147" s="9" t="s">
        <v>285</v>
      </c>
      <c r="D147" s="9" t="s">
        <v>571</v>
      </c>
      <c r="E147" s="115">
        <f>Таблица1[[#This Row],[Грунт]]+Таблица1[[#This Row],[Щебень]]+Таблица1[[#This Row],[Асфальт]]+Таблица1[[#This Row],[Бетон]]</f>
        <v>1</v>
      </c>
      <c r="F147" s="104">
        <v>1</v>
      </c>
      <c r="G147" s="105"/>
      <c r="H147" s="106"/>
      <c r="I147" s="107"/>
      <c r="J147" s="165"/>
      <c r="N147" s="8" t="b">
        <f>OR(Таблица1[[#This Row],[Щебень]]&gt;0,Таблица1[[#This Row],[Асфальт]]&gt;0,Таблица1[[#This Row],[Бетон]]&gt;0)</f>
        <v>0</v>
      </c>
      <c r="Q147" s="8">
        <v>146</v>
      </c>
      <c r="S147" s="228"/>
      <c r="T147" s="228"/>
    </row>
    <row r="148" spans="1:20" ht="46.5" x14ac:dyDescent="0.35">
      <c r="A148" s="9">
        <v>147</v>
      </c>
      <c r="B148" s="9" t="s">
        <v>286</v>
      </c>
      <c r="C148" s="9" t="s">
        <v>287</v>
      </c>
      <c r="D148" s="9" t="s">
        <v>571</v>
      </c>
      <c r="E148" s="115">
        <f>Таблица1[[#This Row],[Грунт]]+Таблица1[[#This Row],[Щебень]]+Таблица1[[#This Row],[Асфальт]]+Таблица1[[#This Row],[Бетон]]</f>
        <v>0.8</v>
      </c>
      <c r="F148" s="104">
        <v>0.8</v>
      </c>
      <c r="G148" s="105"/>
      <c r="H148" s="106"/>
      <c r="I148" s="107"/>
      <c r="J148" s="165"/>
      <c r="N148" s="8" t="b">
        <f>OR(Таблица1[[#This Row],[Щебень]]&gt;0,Таблица1[[#This Row],[Асфальт]]&gt;0,Таблица1[[#This Row],[Бетон]]&gt;0)</f>
        <v>0</v>
      </c>
      <c r="Q148" s="8">
        <v>147</v>
      </c>
      <c r="S148" s="228"/>
      <c r="T148" s="228"/>
    </row>
    <row r="149" spans="1:20" ht="46.5" x14ac:dyDescent="0.35">
      <c r="A149" s="9">
        <v>148</v>
      </c>
      <c r="B149" s="9" t="s">
        <v>288</v>
      </c>
      <c r="C149" s="9" t="s">
        <v>289</v>
      </c>
      <c r="D149" s="9" t="s">
        <v>571</v>
      </c>
      <c r="E149" s="115">
        <f>Таблица1[[#This Row],[Грунт]]+Таблица1[[#This Row],[Щебень]]+Таблица1[[#This Row],[Асфальт]]+Таблица1[[#This Row],[Бетон]]</f>
        <v>0.5</v>
      </c>
      <c r="F149" s="104">
        <v>0.5</v>
      </c>
      <c r="G149" s="105"/>
      <c r="H149" s="106"/>
      <c r="I149" s="107"/>
      <c r="J149" s="165"/>
      <c r="N149" s="8" t="b">
        <f>OR(Таблица1[[#This Row],[Щебень]]&gt;0,Таблица1[[#This Row],[Асфальт]]&gt;0,Таблица1[[#This Row],[Бетон]]&gt;0)</f>
        <v>0</v>
      </c>
      <c r="Q149" s="8">
        <v>148</v>
      </c>
      <c r="S149" s="228"/>
      <c r="T149" s="228"/>
    </row>
    <row r="150" spans="1:20" ht="46.5" x14ac:dyDescent="0.35">
      <c r="A150" s="9">
        <v>149</v>
      </c>
      <c r="B150" s="9" t="s">
        <v>290</v>
      </c>
      <c r="C150" s="9" t="s">
        <v>291</v>
      </c>
      <c r="D150" s="9" t="s">
        <v>571</v>
      </c>
      <c r="E150" s="115">
        <f>Таблица1[[#This Row],[Грунт]]+Таблица1[[#This Row],[Щебень]]+Таблица1[[#This Row],[Асфальт]]+Таблица1[[#This Row],[Бетон]]</f>
        <v>0.7</v>
      </c>
      <c r="F150" s="104">
        <v>0.7</v>
      </c>
      <c r="G150" s="105"/>
      <c r="H150" s="106"/>
      <c r="I150" s="107"/>
      <c r="J150" s="165"/>
      <c r="N150" s="8" t="b">
        <f>OR(Таблица1[[#This Row],[Щебень]]&gt;0,Таблица1[[#This Row],[Асфальт]]&gt;0,Таблица1[[#This Row],[Бетон]]&gt;0)</f>
        <v>0</v>
      </c>
      <c r="Q150" s="8">
        <v>149</v>
      </c>
      <c r="S150" s="228"/>
      <c r="T150" s="228"/>
    </row>
    <row r="151" spans="1:20" ht="46.5" x14ac:dyDescent="0.35">
      <c r="A151" s="9">
        <v>150</v>
      </c>
      <c r="B151" s="9" t="s">
        <v>292</v>
      </c>
      <c r="C151" s="9" t="s">
        <v>293</v>
      </c>
      <c r="D151" s="9" t="s">
        <v>571</v>
      </c>
      <c r="E151" s="115">
        <f>Таблица1[[#This Row],[Грунт]]+Таблица1[[#This Row],[Щебень]]+Таблица1[[#This Row],[Асфальт]]+Таблица1[[#This Row],[Бетон]]</f>
        <v>1</v>
      </c>
      <c r="F151" s="104">
        <v>1</v>
      </c>
      <c r="G151" s="105"/>
      <c r="H151" s="106"/>
      <c r="I151" s="107"/>
      <c r="J151" s="165"/>
      <c r="N151" s="8" t="b">
        <f>OR(Таблица1[[#This Row],[Щебень]]&gt;0,Таблица1[[#This Row],[Асфальт]]&gt;0,Таблица1[[#This Row],[Бетон]]&gt;0)</f>
        <v>0</v>
      </c>
      <c r="Q151" s="8">
        <v>150</v>
      </c>
      <c r="S151" s="228"/>
      <c r="T151" s="228"/>
    </row>
    <row r="152" spans="1:20" ht="46.5" x14ac:dyDescent="0.35">
      <c r="A152" s="9">
        <v>151</v>
      </c>
      <c r="B152" s="9" t="s">
        <v>294</v>
      </c>
      <c r="C152" s="9" t="s">
        <v>295</v>
      </c>
      <c r="D152" s="9" t="s">
        <v>571</v>
      </c>
      <c r="E152" s="115">
        <f>Таблица1[[#This Row],[Грунт]]+Таблица1[[#This Row],[Щебень]]+Таблица1[[#This Row],[Асфальт]]+Таблица1[[#This Row],[Бетон]]</f>
        <v>1.5</v>
      </c>
      <c r="F152" s="104">
        <v>1.5</v>
      </c>
      <c r="G152" s="105"/>
      <c r="H152" s="106"/>
      <c r="I152" s="107"/>
      <c r="J152" s="165"/>
      <c r="N152" s="8" t="b">
        <f>OR(Таблица1[[#This Row],[Щебень]]&gt;0,Таблица1[[#This Row],[Асфальт]]&gt;0,Таблица1[[#This Row],[Бетон]]&gt;0)</f>
        <v>0</v>
      </c>
      <c r="Q152" s="8">
        <v>151</v>
      </c>
      <c r="S152" s="228"/>
      <c r="T152" s="228"/>
    </row>
    <row r="153" spans="1:20" ht="46.5" x14ac:dyDescent="0.35">
      <c r="A153" s="9">
        <v>152</v>
      </c>
      <c r="B153" s="9" t="s">
        <v>296</v>
      </c>
      <c r="C153" s="9" t="s">
        <v>297</v>
      </c>
      <c r="D153" s="9" t="s">
        <v>571</v>
      </c>
      <c r="E153" s="115">
        <f>Таблица1[[#This Row],[Грунт]]+Таблица1[[#This Row],[Щебень]]+Таблица1[[#This Row],[Асфальт]]+Таблица1[[#This Row],[Бетон]]</f>
        <v>0.8</v>
      </c>
      <c r="F153" s="104">
        <v>0.8</v>
      </c>
      <c r="G153" s="105"/>
      <c r="H153" s="106"/>
      <c r="I153" s="107"/>
      <c r="J153" s="165"/>
      <c r="N153" s="8" t="b">
        <f>OR(Таблица1[[#This Row],[Щебень]]&gt;0,Таблица1[[#This Row],[Асфальт]]&gt;0,Таблица1[[#This Row],[Бетон]]&gt;0)</f>
        <v>0</v>
      </c>
      <c r="Q153" s="8">
        <v>152</v>
      </c>
      <c r="S153" s="228"/>
      <c r="T153" s="228"/>
    </row>
    <row r="154" spans="1:20" ht="46.5" x14ac:dyDescent="0.35">
      <c r="A154" s="9">
        <v>153</v>
      </c>
      <c r="B154" s="9" t="s">
        <v>298</v>
      </c>
      <c r="C154" s="9" t="s">
        <v>299</v>
      </c>
      <c r="D154" s="9" t="s">
        <v>571</v>
      </c>
      <c r="E154" s="115">
        <f>Таблица1[[#This Row],[Грунт]]+Таблица1[[#This Row],[Щебень]]+Таблица1[[#This Row],[Асфальт]]+Таблица1[[#This Row],[Бетон]]</f>
        <v>0.5</v>
      </c>
      <c r="F154" s="104">
        <v>0.5</v>
      </c>
      <c r="G154" s="105"/>
      <c r="H154" s="106"/>
      <c r="I154" s="107"/>
      <c r="J154" s="165"/>
      <c r="N154" s="8" t="b">
        <f>OR(Таблица1[[#This Row],[Щебень]]&gt;0,Таблица1[[#This Row],[Асфальт]]&gt;0,Таблица1[[#This Row],[Бетон]]&gt;0)</f>
        <v>0</v>
      </c>
      <c r="Q154" s="8">
        <v>153</v>
      </c>
      <c r="S154" s="228"/>
      <c r="T154" s="228"/>
    </row>
    <row r="155" spans="1:20" ht="46.5" x14ac:dyDescent="0.35">
      <c r="A155" s="9">
        <v>154</v>
      </c>
      <c r="B155" s="9" t="s">
        <v>300</v>
      </c>
      <c r="C155" s="9" t="s">
        <v>301</v>
      </c>
      <c r="D155" s="9" t="s">
        <v>571</v>
      </c>
      <c r="E155" s="115">
        <f>Таблица1[[#This Row],[Грунт]]+Таблица1[[#This Row],[Щебень]]+Таблица1[[#This Row],[Асфальт]]+Таблица1[[#This Row],[Бетон]]</f>
        <v>1.5</v>
      </c>
      <c r="F155" s="104">
        <v>1.5</v>
      </c>
      <c r="G155" s="105"/>
      <c r="H155" s="106"/>
      <c r="I155" s="107"/>
      <c r="J155" s="165"/>
      <c r="N155" s="8" t="b">
        <f>OR(Таблица1[[#This Row],[Щебень]]&gt;0,Таблица1[[#This Row],[Асфальт]]&gt;0,Таблица1[[#This Row],[Бетон]]&gt;0)</f>
        <v>0</v>
      </c>
      <c r="Q155" s="8">
        <v>154</v>
      </c>
      <c r="S155" s="228"/>
      <c r="T155" s="228"/>
    </row>
    <row r="156" spans="1:20" ht="46.5" x14ac:dyDescent="0.35">
      <c r="A156" s="9">
        <v>155</v>
      </c>
      <c r="B156" s="9" t="s">
        <v>302</v>
      </c>
      <c r="C156" s="9" t="s">
        <v>303</v>
      </c>
      <c r="D156" s="9" t="s">
        <v>571</v>
      </c>
      <c r="E156" s="115">
        <f>Таблица1[[#This Row],[Грунт]]+Таблица1[[#This Row],[Щебень]]+Таблица1[[#This Row],[Асфальт]]+Таблица1[[#This Row],[Бетон]]</f>
        <v>0.7</v>
      </c>
      <c r="F156" s="104">
        <v>0.7</v>
      </c>
      <c r="G156" s="105"/>
      <c r="H156" s="106"/>
      <c r="I156" s="107"/>
      <c r="J156" s="165"/>
      <c r="N156" s="8" t="b">
        <f>OR(Таблица1[[#This Row],[Щебень]]&gt;0,Таблица1[[#This Row],[Асфальт]]&gt;0,Таблица1[[#This Row],[Бетон]]&gt;0)</f>
        <v>0</v>
      </c>
      <c r="Q156" s="8">
        <v>155</v>
      </c>
      <c r="S156" s="228"/>
      <c r="T156" s="228"/>
    </row>
    <row r="157" spans="1:20" ht="46.5" x14ac:dyDescent="0.35">
      <c r="A157" s="9">
        <v>156</v>
      </c>
      <c r="B157" s="9" t="s">
        <v>304</v>
      </c>
      <c r="C157" s="9" t="s">
        <v>305</v>
      </c>
      <c r="D157" s="9" t="s">
        <v>571</v>
      </c>
      <c r="E157" s="115">
        <f>Таблица1[[#This Row],[Грунт]]+Таблица1[[#This Row],[Щебень]]+Таблица1[[#This Row],[Асфальт]]+Таблица1[[#This Row],[Бетон]]</f>
        <v>0.5</v>
      </c>
      <c r="F157" s="104">
        <v>0.5</v>
      </c>
      <c r="G157" s="105"/>
      <c r="H157" s="106"/>
      <c r="I157" s="107"/>
      <c r="J157" s="165"/>
      <c r="N157" s="8" t="b">
        <f>OR(Таблица1[[#This Row],[Щебень]]&gt;0,Таблица1[[#This Row],[Асфальт]]&gt;0,Таблица1[[#This Row],[Бетон]]&gt;0)</f>
        <v>0</v>
      </c>
      <c r="Q157" s="8">
        <v>156</v>
      </c>
      <c r="S157" s="228"/>
      <c r="T157" s="228"/>
    </row>
    <row r="158" spans="1:20" ht="46.5" x14ac:dyDescent="0.35">
      <c r="A158" s="9">
        <v>157</v>
      </c>
      <c r="B158" s="9" t="s">
        <v>306</v>
      </c>
      <c r="C158" s="9" t="s">
        <v>307</v>
      </c>
      <c r="D158" s="9" t="s">
        <v>571</v>
      </c>
      <c r="E158" s="115">
        <f>Таблица1[[#This Row],[Грунт]]+Таблица1[[#This Row],[Щебень]]+Таблица1[[#This Row],[Асфальт]]+Таблица1[[#This Row],[Бетон]]</f>
        <v>0.4</v>
      </c>
      <c r="F158" s="104">
        <v>0.4</v>
      </c>
      <c r="G158" s="105"/>
      <c r="H158" s="106"/>
      <c r="I158" s="107"/>
      <c r="J158" s="165"/>
      <c r="N158" s="8" t="b">
        <f>OR(Таблица1[[#This Row],[Щебень]]&gt;0,Таблица1[[#This Row],[Асфальт]]&gt;0,Таблица1[[#This Row],[Бетон]]&gt;0)</f>
        <v>0</v>
      </c>
      <c r="Q158" s="8">
        <v>157</v>
      </c>
      <c r="S158" s="228"/>
      <c r="T158" s="228"/>
    </row>
    <row r="159" spans="1:20" ht="46.5" x14ac:dyDescent="0.35">
      <c r="A159" s="9">
        <v>158</v>
      </c>
      <c r="B159" s="9" t="s">
        <v>308</v>
      </c>
      <c r="C159" s="9" t="s">
        <v>309</v>
      </c>
      <c r="D159" s="9" t="s">
        <v>542</v>
      </c>
      <c r="E159" s="9">
        <f>Таблица1[[#This Row],[Грунт]]+Таблица1[[#This Row],[Щебень]]+Таблица1[[#This Row],[Асфальт]]+Таблица1[[#This Row],[Бетон]]</f>
        <v>0.65</v>
      </c>
      <c r="F159" s="104"/>
      <c r="G159" s="105"/>
      <c r="H159" s="106">
        <v>0.65</v>
      </c>
      <c r="I159" s="107"/>
      <c r="J159" s="165"/>
      <c r="N159" s="8" t="b">
        <f>OR(Таблица1[[#This Row],[Щебень]]&gt;0,Таблица1[[#This Row],[Асфальт]]&gt;0,Таблица1[[#This Row],[Бетон]]&gt;0)</f>
        <v>1</v>
      </c>
      <c r="O159" s="8">
        <v>1</v>
      </c>
      <c r="Q159" s="8">
        <v>158</v>
      </c>
      <c r="S159" s="228"/>
      <c r="T159" s="228"/>
    </row>
    <row r="160" spans="1:20" ht="46.5" x14ac:dyDescent="0.35">
      <c r="A160" s="9">
        <v>159</v>
      </c>
      <c r="B160" s="9" t="s">
        <v>310</v>
      </c>
      <c r="C160" s="9" t="s">
        <v>311</v>
      </c>
      <c r="D160" s="9" t="s">
        <v>542</v>
      </c>
      <c r="E160" s="9">
        <f>Таблица1[[#This Row],[Грунт]]+Таблица1[[#This Row],[Щебень]]+Таблица1[[#This Row],[Асфальт]]+Таблица1[[#This Row],[Бетон]]</f>
        <v>0.8</v>
      </c>
      <c r="F160" s="104"/>
      <c r="G160" s="105"/>
      <c r="H160" s="106">
        <v>0.8</v>
      </c>
      <c r="I160" s="107"/>
      <c r="J160" s="165"/>
      <c r="N160" s="8" t="b">
        <f>OR(Таблица1[[#This Row],[Щебень]]&gt;0,Таблица1[[#This Row],[Асфальт]]&gt;0,Таблица1[[#This Row],[Бетон]]&gt;0)</f>
        <v>1</v>
      </c>
      <c r="O160" s="8">
        <v>1</v>
      </c>
      <c r="Q160" s="8">
        <v>159</v>
      </c>
      <c r="S160" s="228"/>
      <c r="T160" s="228"/>
    </row>
    <row r="161" spans="1:20" ht="46.5" x14ac:dyDescent="0.35">
      <c r="A161" s="9">
        <v>160</v>
      </c>
      <c r="B161" s="9" t="s">
        <v>312</v>
      </c>
      <c r="C161" s="9" t="s">
        <v>313</v>
      </c>
      <c r="D161" s="9" t="s">
        <v>542</v>
      </c>
      <c r="E161" s="9">
        <f>Таблица1[[#This Row],[Грунт]]+Таблица1[[#This Row],[Щебень]]+Таблица1[[#This Row],[Асфальт]]+Таблица1[[#This Row],[Бетон]]</f>
        <v>1.8</v>
      </c>
      <c r="F161" s="104"/>
      <c r="G161" s="105"/>
      <c r="H161" s="106">
        <v>1.8</v>
      </c>
      <c r="I161" s="107"/>
      <c r="J161" s="165"/>
      <c r="N161" s="8" t="b">
        <f>OR(Таблица1[[#This Row],[Щебень]]&gt;0,Таблица1[[#This Row],[Асфальт]]&gt;0,Таблица1[[#This Row],[Бетон]]&gt;0)</f>
        <v>1</v>
      </c>
      <c r="O161" s="8">
        <v>1</v>
      </c>
      <c r="Q161" s="8">
        <v>160</v>
      </c>
      <c r="S161" s="228"/>
      <c r="T161" s="228"/>
    </row>
    <row r="162" spans="1:20" ht="46.5" x14ac:dyDescent="0.35">
      <c r="A162" s="9">
        <v>161</v>
      </c>
      <c r="B162" s="9" t="s">
        <v>314</v>
      </c>
      <c r="C162" s="9" t="s">
        <v>315</v>
      </c>
      <c r="D162" s="9" t="s">
        <v>542</v>
      </c>
      <c r="E162" s="9">
        <f>Таблица1[[#This Row],[Грунт]]+Таблица1[[#This Row],[Щебень]]+Таблица1[[#This Row],[Асфальт]]+Таблица1[[#This Row],[Бетон]]</f>
        <v>0.55000000000000004</v>
      </c>
      <c r="F162" s="104"/>
      <c r="G162" s="105"/>
      <c r="H162" s="106">
        <v>0.55000000000000004</v>
      </c>
      <c r="I162" s="107"/>
      <c r="J162" s="165"/>
      <c r="N162" s="8" t="b">
        <f>OR(Таблица1[[#This Row],[Щебень]]&gt;0,Таблица1[[#This Row],[Асфальт]]&gt;0,Таблица1[[#This Row],[Бетон]]&gt;0)</f>
        <v>1</v>
      </c>
      <c r="O162" s="8">
        <v>1</v>
      </c>
      <c r="Q162" s="8">
        <v>161</v>
      </c>
      <c r="S162" s="228"/>
      <c r="T162" s="228"/>
    </row>
    <row r="163" spans="1:20" ht="46.5" x14ac:dyDescent="0.35">
      <c r="A163" s="9">
        <v>162</v>
      </c>
      <c r="B163" s="9" t="s">
        <v>316</v>
      </c>
      <c r="C163" s="9" t="s">
        <v>317</v>
      </c>
      <c r="D163" s="9" t="s">
        <v>542</v>
      </c>
      <c r="E163" s="9">
        <f>Таблица1[[#This Row],[Грунт]]+Таблица1[[#This Row],[Щебень]]+Таблица1[[#This Row],[Асфальт]]+Таблица1[[#This Row],[Бетон]]</f>
        <v>1.3</v>
      </c>
      <c r="F163" s="104">
        <v>1.3</v>
      </c>
      <c r="G163" s="105"/>
      <c r="H163" s="106"/>
      <c r="I163" s="107"/>
      <c r="J163" s="165"/>
      <c r="N163" s="8" t="b">
        <f>OR(Таблица1[[#This Row],[Щебень]]&gt;0,Таблица1[[#This Row],[Асфальт]]&gt;0,Таблица1[[#This Row],[Бетон]]&gt;0)</f>
        <v>0</v>
      </c>
      <c r="Q163" s="8">
        <v>162</v>
      </c>
      <c r="S163" s="228"/>
      <c r="T163" s="228"/>
    </row>
    <row r="164" spans="1:20" ht="46.5" x14ac:dyDescent="0.35">
      <c r="A164" s="9">
        <v>163</v>
      </c>
      <c r="B164" s="9" t="s">
        <v>318</v>
      </c>
      <c r="C164" s="9" t="s">
        <v>319</v>
      </c>
      <c r="D164" s="9" t="s">
        <v>542</v>
      </c>
      <c r="E164" s="9">
        <f>Таблица1[[#This Row],[Грунт]]+Таблица1[[#This Row],[Щебень]]+Таблица1[[#This Row],[Асфальт]]+Таблица1[[#This Row],[Бетон]]</f>
        <v>0.5</v>
      </c>
      <c r="F164" s="104">
        <v>0.5</v>
      </c>
      <c r="G164" s="105"/>
      <c r="H164" s="106"/>
      <c r="I164" s="107"/>
      <c r="J164" s="165"/>
      <c r="N164" s="8" t="b">
        <f>OR(Таблица1[[#This Row],[Щебень]]&gt;0,Таблица1[[#This Row],[Асфальт]]&gt;0,Таблица1[[#This Row],[Бетон]]&gt;0)</f>
        <v>0</v>
      </c>
      <c r="Q164" s="8">
        <v>163</v>
      </c>
      <c r="S164" s="228"/>
      <c r="T164" s="228"/>
    </row>
    <row r="165" spans="1:20" ht="46.5" x14ac:dyDescent="0.35">
      <c r="A165" s="9">
        <v>164</v>
      </c>
      <c r="B165" s="9" t="s">
        <v>320</v>
      </c>
      <c r="C165" s="9" t="s">
        <v>321</v>
      </c>
      <c r="D165" s="9" t="s">
        <v>542</v>
      </c>
      <c r="E165" s="9">
        <f>Таблица1[[#This Row],[Грунт]]+Таблица1[[#This Row],[Щебень]]+Таблица1[[#This Row],[Асфальт]]+Таблица1[[#This Row],[Бетон]]</f>
        <v>5.2</v>
      </c>
      <c r="F165" s="104">
        <v>3.7</v>
      </c>
      <c r="G165" s="105"/>
      <c r="H165" s="106">
        <v>1.5</v>
      </c>
      <c r="I165" s="107"/>
      <c r="J165" s="165"/>
      <c r="N165" s="8" t="b">
        <f>OR(Таблица1[[#This Row],[Щебень]]&gt;0,Таблица1[[#This Row],[Асфальт]]&gt;0,Таблица1[[#This Row],[Бетон]]&gt;0)</f>
        <v>1</v>
      </c>
      <c r="O165" s="8">
        <v>1</v>
      </c>
      <c r="Q165" s="8">
        <v>164</v>
      </c>
      <c r="S165" s="228"/>
      <c r="T165" s="228"/>
    </row>
    <row r="166" spans="1:20" ht="46.5" x14ac:dyDescent="0.35">
      <c r="A166" s="9">
        <v>165</v>
      </c>
      <c r="B166" s="9" t="s">
        <v>322</v>
      </c>
      <c r="C166" s="9" t="s">
        <v>323</v>
      </c>
      <c r="D166" s="9" t="s">
        <v>542</v>
      </c>
      <c r="E166" s="9">
        <f>Таблица1[[#This Row],[Грунт]]+Таблица1[[#This Row],[Щебень]]+Таблица1[[#This Row],[Асфальт]]+Таблица1[[#This Row],[Бетон]]</f>
        <v>2.4</v>
      </c>
      <c r="F166" s="104">
        <v>0.4</v>
      </c>
      <c r="G166" s="105">
        <v>2</v>
      </c>
      <c r="H166" s="106"/>
      <c r="I166" s="107"/>
      <c r="J166" s="165"/>
      <c r="N166" s="8" t="b">
        <f>OR(Таблица1[[#This Row],[Щебень]]&gt;0,Таблица1[[#This Row],[Асфальт]]&gt;0,Таблица1[[#This Row],[Бетон]]&gt;0)</f>
        <v>1</v>
      </c>
      <c r="O166" s="8">
        <v>1</v>
      </c>
      <c r="Q166" s="8">
        <v>165</v>
      </c>
      <c r="S166" s="228"/>
      <c r="T166" s="228"/>
    </row>
    <row r="167" spans="1:20" ht="46.5" x14ac:dyDescent="0.35">
      <c r="A167" s="9">
        <v>166</v>
      </c>
      <c r="B167" s="9" t="s">
        <v>324</v>
      </c>
      <c r="C167" s="9" t="s">
        <v>325</v>
      </c>
      <c r="D167" s="9" t="s">
        <v>542</v>
      </c>
      <c r="E167" s="9">
        <f>Таблица1[[#This Row],[Грунт]]+Таблица1[[#This Row],[Щебень]]+Таблица1[[#This Row],[Асфальт]]+Таблица1[[#This Row],[Бетон]]</f>
        <v>0.95</v>
      </c>
      <c r="F167" s="104">
        <v>0.95</v>
      </c>
      <c r="G167" s="105"/>
      <c r="H167" s="106"/>
      <c r="I167" s="107"/>
      <c r="J167" s="165"/>
      <c r="N167" s="8" t="b">
        <f>OR(Таблица1[[#This Row],[Щебень]]&gt;0,Таблица1[[#This Row],[Асфальт]]&gt;0,Таблица1[[#This Row],[Бетон]]&gt;0)</f>
        <v>0</v>
      </c>
      <c r="Q167" s="8">
        <v>166</v>
      </c>
      <c r="S167" s="228"/>
      <c r="T167" s="228"/>
    </row>
    <row r="168" spans="1:20" ht="46.5" x14ac:dyDescent="0.35">
      <c r="A168" s="9">
        <v>167</v>
      </c>
      <c r="B168" s="9" t="s">
        <v>326</v>
      </c>
      <c r="C168" s="9" t="s">
        <v>327</v>
      </c>
      <c r="D168" s="9" t="s">
        <v>542</v>
      </c>
      <c r="E168" s="9">
        <f>Таблица1[[#This Row],[Грунт]]+Таблица1[[#This Row],[Щебень]]+Таблица1[[#This Row],[Асфальт]]+Таблица1[[#This Row],[Бетон]]</f>
        <v>1.1000000000000001</v>
      </c>
      <c r="F168" s="104">
        <v>1.1000000000000001</v>
      </c>
      <c r="G168" s="105"/>
      <c r="H168" s="106"/>
      <c r="I168" s="107"/>
      <c r="J168" s="165"/>
      <c r="N168" s="8" t="b">
        <f>OR(Таблица1[[#This Row],[Щебень]]&gt;0,Таблица1[[#This Row],[Асфальт]]&gt;0,Таблица1[[#This Row],[Бетон]]&gt;0)</f>
        <v>0</v>
      </c>
      <c r="Q168" s="8">
        <v>167</v>
      </c>
      <c r="S168" s="228"/>
      <c r="T168" s="228"/>
    </row>
    <row r="169" spans="1:20" ht="46.5" x14ac:dyDescent="0.35">
      <c r="A169" s="9">
        <v>168</v>
      </c>
      <c r="B169" s="9" t="s">
        <v>328</v>
      </c>
      <c r="C169" s="9" t="s">
        <v>329</v>
      </c>
      <c r="D169" s="9" t="s">
        <v>542</v>
      </c>
      <c r="E169" s="9">
        <f>Таблица1[[#This Row],[Грунт]]+Таблица1[[#This Row],[Щебень]]+Таблица1[[#This Row],[Асфальт]]+Таблица1[[#This Row],[Бетон]]</f>
        <v>0.5</v>
      </c>
      <c r="F169" s="104">
        <v>0.5</v>
      </c>
      <c r="G169" s="105"/>
      <c r="H169" s="106"/>
      <c r="I169" s="107"/>
      <c r="J169" s="165"/>
      <c r="N169" s="8" t="b">
        <f>OR(Таблица1[[#This Row],[Щебень]]&gt;0,Таблица1[[#This Row],[Асфальт]]&gt;0,Таблица1[[#This Row],[Бетон]]&gt;0)</f>
        <v>0</v>
      </c>
      <c r="Q169" s="8">
        <v>168</v>
      </c>
      <c r="S169" s="228"/>
      <c r="T169" s="228"/>
    </row>
    <row r="170" spans="1:20" ht="46.5" x14ac:dyDescent="0.35">
      <c r="A170" s="9">
        <v>169</v>
      </c>
      <c r="B170" s="9" t="s">
        <v>330</v>
      </c>
      <c r="C170" s="9" t="s">
        <v>331</v>
      </c>
      <c r="D170" s="9" t="s">
        <v>542</v>
      </c>
      <c r="E170" s="9">
        <f>Таблица1[[#This Row],[Грунт]]+Таблица1[[#This Row],[Щебень]]+Таблица1[[#This Row],[Асфальт]]+Таблица1[[#This Row],[Бетон]]</f>
        <v>1.2</v>
      </c>
      <c r="F170" s="104">
        <v>1</v>
      </c>
      <c r="G170" s="105"/>
      <c r="H170" s="106">
        <v>0.2</v>
      </c>
      <c r="I170" s="107"/>
      <c r="J170" s="165"/>
      <c r="N170" s="8" t="b">
        <f>OR(Таблица1[[#This Row],[Щебень]]&gt;0,Таблица1[[#This Row],[Асфальт]]&gt;0,Таблица1[[#This Row],[Бетон]]&gt;0)</f>
        <v>1</v>
      </c>
      <c r="O170" s="8">
        <v>1</v>
      </c>
      <c r="Q170" s="8">
        <v>169</v>
      </c>
      <c r="S170" s="228"/>
      <c r="T170" s="228"/>
    </row>
    <row r="171" spans="1:20" ht="46.5" x14ac:dyDescent="0.35">
      <c r="A171" s="9">
        <v>170</v>
      </c>
      <c r="B171" s="9" t="s">
        <v>332</v>
      </c>
      <c r="C171" s="9" t="s">
        <v>333</v>
      </c>
      <c r="D171" s="9" t="s">
        <v>542</v>
      </c>
      <c r="E171" s="9">
        <f>Таблица1[[#This Row],[Грунт]]+Таблица1[[#This Row],[Щебень]]+Таблица1[[#This Row],[Асфальт]]+Таблица1[[#This Row],[Бетон]]</f>
        <v>0.6</v>
      </c>
      <c r="F171" s="104"/>
      <c r="G171" s="105">
        <v>0.6</v>
      </c>
      <c r="H171" s="106"/>
      <c r="I171" s="107"/>
      <c r="J171" s="165"/>
      <c r="N171" s="8" t="b">
        <f>OR(Таблица1[[#This Row],[Щебень]]&gt;0,Таблица1[[#This Row],[Асфальт]]&gt;0,Таблица1[[#This Row],[Бетон]]&gt;0)</f>
        <v>1</v>
      </c>
      <c r="O171" s="8">
        <v>1</v>
      </c>
      <c r="Q171" s="8">
        <v>170</v>
      </c>
      <c r="S171" s="228"/>
      <c r="T171" s="228"/>
    </row>
    <row r="172" spans="1:20" ht="46.5" x14ac:dyDescent="0.35">
      <c r="A172" s="132">
        <v>171</v>
      </c>
      <c r="B172" s="132" t="s">
        <v>334</v>
      </c>
      <c r="C172" s="132" t="s">
        <v>335</v>
      </c>
      <c r="D172" s="132" t="s">
        <v>543</v>
      </c>
      <c r="E172" s="132">
        <f>Таблица1[[#This Row],[Грунт]]+Таблица1[[#This Row],[Щебень]]+Таблица1[[#This Row],[Асфальт]]+Таблица1[[#This Row],[Бетон]]</f>
        <v>2</v>
      </c>
      <c r="F172" s="116">
        <v>0.2</v>
      </c>
      <c r="G172" s="105">
        <v>0.3</v>
      </c>
      <c r="H172" s="106">
        <v>1</v>
      </c>
      <c r="I172" s="107">
        <v>0.5</v>
      </c>
      <c r="J172" s="165"/>
      <c r="K172" s="10" t="s">
        <v>557</v>
      </c>
      <c r="N172" s="8" t="b">
        <f>OR(Таблица1[[#This Row],[Щебень]]&gt;0,Таблица1[[#This Row],[Асфальт]]&gt;0,Таблица1[[#This Row],[Бетон]]&gt;0)</f>
        <v>1</v>
      </c>
      <c r="O172" s="8">
        <v>1</v>
      </c>
      <c r="P172" s="8">
        <v>1.7</v>
      </c>
      <c r="Q172" s="8">
        <v>171</v>
      </c>
      <c r="S172" s="228"/>
      <c r="T172" s="228"/>
    </row>
    <row r="173" spans="1:20" ht="46.5" x14ac:dyDescent="0.35">
      <c r="A173" s="9">
        <v>172</v>
      </c>
      <c r="B173" s="9" t="s">
        <v>336</v>
      </c>
      <c r="C173" s="9" t="s">
        <v>337</v>
      </c>
      <c r="D173" s="9" t="s">
        <v>543</v>
      </c>
      <c r="E173" s="9">
        <f>Таблица1[[#This Row],[Грунт]]+Таблица1[[#This Row],[Щебень]]+Таблица1[[#This Row],[Асфальт]]+Таблица1[[#This Row],[Бетон]]</f>
        <v>0.3</v>
      </c>
      <c r="F173" s="116">
        <v>0.3</v>
      </c>
      <c r="G173" s="105"/>
      <c r="H173" s="106"/>
      <c r="I173" s="107"/>
      <c r="J173" s="165"/>
      <c r="N173" s="8" t="b">
        <f>OR(Таблица1[[#This Row],[Щебень]]&gt;0,Таблица1[[#This Row],[Асфальт]]&gt;0,Таблица1[[#This Row],[Бетон]]&gt;0)</f>
        <v>0</v>
      </c>
      <c r="Q173" s="8">
        <v>172</v>
      </c>
      <c r="S173" s="228"/>
      <c r="T173" s="228"/>
    </row>
    <row r="174" spans="1:20" ht="46.5" x14ac:dyDescent="0.35">
      <c r="A174" s="9">
        <v>173</v>
      </c>
      <c r="B174" s="9" t="s">
        <v>338</v>
      </c>
      <c r="C174" s="9" t="s">
        <v>339</v>
      </c>
      <c r="D174" s="9" t="s">
        <v>543</v>
      </c>
      <c r="E174" s="9">
        <f>Таблица1[[#This Row],[Грунт]]+Таблица1[[#This Row],[Щебень]]+Таблица1[[#This Row],[Асфальт]]+Таблица1[[#This Row],[Бетон]]</f>
        <v>0.85</v>
      </c>
      <c r="F174" s="116">
        <v>0.85</v>
      </c>
      <c r="G174" s="105"/>
      <c r="H174" s="106"/>
      <c r="I174" s="107"/>
      <c r="J174" s="165"/>
      <c r="N174" s="8" t="b">
        <f>OR(Таблица1[[#This Row],[Щебень]]&gt;0,Таблица1[[#This Row],[Асфальт]]&gt;0,Таблица1[[#This Row],[Бетон]]&gt;0)</f>
        <v>0</v>
      </c>
      <c r="Q174" s="8">
        <v>173</v>
      </c>
      <c r="S174" s="228"/>
      <c r="T174" s="228"/>
    </row>
    <row r="175" spans="1:20" ht="46.5" x14ac:dyDescent="0.35">
      <c r="A175" s="9">
        <v>174</v>
      </c>
      <c r="B175" s="9" t="s">
        <v>340</v>
      </c>
      <c r="C175" s="9" t="s">
        <v>341</v>
      </c>
      <c r="D175" s="9" t="s">
        <v>543</v>
      </c>
      <c r="E175" s="9">
        <f>Таблица1[[#This Row],[Грунт]]+Таблица1[[#This Row],[Щебень]]+Таблица1[[#This Row],[Асфальт]]+Таблица1[[#This Row],[Бетон]]</f>
        <v>0.4</v>
      </c>
      <c r="F175" s="116">
        <v>0.4</v>
      </c>
      <c r="G175" s="105"/>
      <c r="H175" s="106"/>
      <c r="I175" s="107"/>
      <c r="J175" s="165"/>
      <c r="N175" s="8" t="b">
        <f>OR(Таблица1[[#This Row],[Щебень]]&gt;0,Таблица1[[#This Row],[Асфальт]]&gt;0,Таблица1[[#This Row],[Бетон]]&gt;0)</f>
        <v>0</v>
      </c>
      <c r="Q175" s="8">
        <v>174</v>
      </c>
      <c r="S175" s="228"/>
      <c r="T175" s="228"/>
    </row>
    <row r="176" spans="1:20" ht="46.5" x14ac:dyDescent="0.35">
      <c r="A176" s="9">
        <v>175</v>
      </c>
      <c r="B176" s="9" t="s">
        <v>342</v>
      </c>
      <c r="C176" s="9" t="s">
        <v>343</v>
      </c>
      <c r="D176" s="9" t="s">
        <v>543</v>
      </c>
      <c r="E176" s="9">
        <f>Таблица1[[#This Row],[Грунт]]+Таблица1[[#This Row],[Щебень]]+Таблица1[[#This Row],[Асфальт]]+Таблица1[[#This Row],[Бетон]]</f>
        <v>1.45</v>
      </c>
      <c r="F176" s="116">
        <v>1.45</v>
      </c>
      <c r="G176" s="105"/>
      <c r="H176" s="106"/>
      <c r="I176" s="107"/>
      <c r="J176" s="165"/>
      <c r="N176" s="8" t="b">
        <f>OR(Таблица1[[#This Row],[Щебень]]&gt;0,Таблица1[[#This Row],[Асфальт]]&gt;0,Таблица1[[#This Row],[Бетон]]&gt;0)</f>
        <v>0</v>
      </c>
      <c r="Q176" s="8">
        <v>175</v>
      </c>
      <c r="S176" s="228"/>
      <c r="T176" s="228"/>
    </row>
    <row r="177" spans="1:20" ht="46.5" x14ac:dyDescent="0.35">
      <c r="A177" s="9">
        <v>176</v>
      </c>
      <c r="B177" s="9" t="s">
        <v>344</v>
      </c>
      <c r="C177" s="9" t="s">
        <v>345</v>
      </c>
      <c r="D177" s="9" t="s">
        <v>543</v>
      </c>
      <c r="E177" s="9">
        <f>Таблица1[[#This Row],[Грунт]]+Таблица1[[#This Row],[Щебень]]+Таблица1[[#This Row],[Асфальт]]+Таблица1[[#This Row],[Бетон]]</f>
        <v>0.8</v>
      </c>
      <c r="F177" s="116">
        <v>0.8</v>
      </c>
      <c r="G177" s="105"/>
      <c r="H177" s="106"/>
      <c r="I177" s="107"/>
      <c r="J177" s="165"/>
      <c r="N177" s="8" t="b">
        <f>OR(Таблица1[[#This Row],[Щебень]]&gt;0,Таблица1[[#This Row],[Асфальт]]&gt;0,Таблица1[[#This Row],[Бетон]]&gt;0)</f>
        <v>0</v>
      </c>
      <c r="Q177" s="8">
        <v>176</v>
      </c>
      <c r="S177" s="228"/>
      <c r="T177" s="228"/>
    </row>
    <row r="178" spans="1:20" ht="46.5" x14ac:dyDescent="0.35">
      <c r="A178" s="9">
        <v>177</v>
      </c>
      <c r="B178" s="9" t="s">
        <v>346</v>
      </c>
      <c r="C178" s="9" t="s">
        <v>347</v>
      </c>
      <c r="D178" s="9" t="s">
        <v>543</v>
      </c>
      <c r="E178" s="9">
        <f>Таблица1[[#This Row],[Грунт]]+Таблица1[[#This Row],[Щебень]]+Таблица1[[#This Row],[Асфальт]]+Таблица1[[#This Row],[Бетон]]</f>
        <v>1.5</v>
      </c>
      <c r="F178" s="116">
        <v>1.5</v>
      </c>
      <c r="G178" s="105"/>
      <c r="H178" s="106"/>
      <c r="I178" s="107"/>
      <c r="J178" s="165"/>
      <c r="N178" s="8" t="b">
        <f>OR(Таблица1[[#This Row],[Щебень]]&gt;0,Таблица1[[#This Row],[Асфальт]]&gt;0,Таблица1[[#This Row],[Бетон]]&gt;0)</f>
        <v>0</v>
      </c>
      <c r="Q178" s="8">
        <v>177</v>
      </c>
      <c r="S178" s="228"/>
      <c r="T178" s="228"/>
    </row>
    <row r="179" spans="1:20" ht="46.5" x14ac:dyDescent="0.35">
      <c r="A179" s="9">
        <v>178</v>
      </c>
      <c r="B179" s="9" t="s">
        <v>348</v>
      </c>
      <c r="C179" s="9" t="s">
        <v>349</v>
      </c>
      <c r="D179" s="9" t="s">
        <v>543</v>
      </c>
      <c r="E179" s="9">
        <f>Таблица1[[#This Row],[Грунт]]+Таблица1[[#This Row],[Щебень]]+Таблица1[[#This Row],[Асфальт]]+Таблица1[[#This Row],[Бетон]]</f>
        <v>0.65</v>
      </c>
      <c r="F179" s="116">
        <v>0.65</v>
      </c>
      <c r="G179" s="105"/>
      <c r="H179" s="106"/>
      <c r="I179" s="107"/>
      <c r="J179" s="165"/>
      <c r="N179" s="8" t="b">
        <f>OR(Таблица1[[#This Row],[Щебень]]&gt;0,Таблица1[[#This Row],[Асфальт]]&gt;0,Таблица1[[#This Row],[Бетон]]&gt;0)</f>
        <v>0</v>
      </c>
      <c r="Q179" s="8">
        <v>178</v>
      </c>
      <c r="S179" s="228"/>
      <c r="T179" s="228"/>
    </row>
    <row r="180" spans="1:20" ht="46.5" x14ac:dyDescent="0.35">
      <c r="A180" s="9">
        <v>179</v>
      </c>
      <c r="B180" s="9" t="s">
        <v>350</v>
      </c>
      <c r="C180" s="9" t="s">
        <v>351</v>
      </c>
      <c r="D180" s="9" t="s">
        <v>543</v>
      </c>
      <c r="E180" s="9">
        <f>Таблица1[[#This Row],[Грунт]]+Таблица1[[#This Row],[Щебень]]+Таблица1[[#This Row],[Асфальт]]+Таблица1[[#This Row],[Бетон]]</f>
        <v>0.75</v>
      </c>
      <c r="F180" s="116">
        <v>0.75</v>
      </c>
      <c r="G180" s="105"/>
      <c r="H180" s="106"/>
      <c r="I180" s="107"/>
      <c r="J180" s="165"/>
      <c r="N180" s="8" t="b">
        <f>OR(Таблица1[[#This Row],[Щебень]]&gt;0,Таблица1[[#This Row],[Асфальт]]&gt;0,Таблица1[[#This Row],[Бетон]]&gt;0)</f>
        <v>0</v>
      </c>
      <c r="Q180" s="8">
        <v>179</v>
      </c>
      <c r="S180" s="228"/>
      <c r="T180" s="228"/>
    </row>
    <row r="181" spans="1:20" ht="46.5" x14ac:dyDescent="0.35">
      <c r="A181" s="9">
        <v>180</v>
      </c>
      <c r="B181" s="9" t="s">
        <v>352</v>
      </c>
      <c r="C181" s="9" t="s">
        <v>353</v>
      </c>
      <c r="D181" s="9" t="s">
        <v>543</v>
      </c>
      <c r="E181" s="9">
        <f>Таблица1[[#This Row],[Грунт]]+Таблица1[[#This Row],[Щебень]]+Таблица1[[#This Row],[Асфальт]]+Таблица1[[#This Row],[Бетон]]</f>
        <v>0.6</v>
      </c>
      <c r="F181" s="116">
        <v>0.6</v>
      </c>
      <c r="G181" s="105"/>
      <c r="H181" s="106"/>
      <c r="I181" s="107"/>
      <c r="J181" s="165"/>
      <c r="N181" s="8" t="b">
        <f>OR(Таблица1[[#This Row],[Щебень]]&gt;0,Таблица1[[#This Row],[Асфальт]]&gt;0,Таблица1[[#This Row],[Бетон]]&gt;0)</f>
        <v>0</v>
      </c>
      <c r="Q181" s="8">
        <v>180</v>
      </c>
      <c r="S181" s="228"/>
      <c r="T181" s="228"/>
    </row>
    <row r="182" spans="1:20" ht="46.5" x14ac:dyDescent="0.35">
      <c r="A182" s="9">
        <v>181</v>
      </c>
      <c r="B182" s="9" t="s">
        <v>354</v>
      </c>
      <c r="C182" s="9" t="s">
        <v>355</v>
      </c>
      <c r="D182" s="9" t="s">
        <v>543</v>
      </c>
      <c r="E182" s="9">
        <f>Таблица1[[#This Row],[Грунт]]+Таблица1[[#This Row],[Щебень]]+Таблица1[[#This Row],[Асфальт]]+Таблица1[[#This Row],[Бетон]]</f>
        <v>0.3</v>
      </c>
      <c r="F182" s="116">
        <v>0.3</v>
      </c>
      <c r="G182" s="105"/>
      <c r="H182" s="106"/>
      <c r="I182" s="107"/>
      <c r="J182" s="165"/>
      <c r="N182" s="8" t="b">
        <f>OR(Таблица1[[#This Row],[Щебень]]&gt;0,Таблица1[[#This Row],[Асфальт]]&gt;0,Таблица1[[#This Row],[Бетон]]&gt;0)</f>
        <v>0</v>
      </c>
      <c r="Q182" s="8">
        <v>181</v>
      </c>
      <c r="S182" s="228"/>
      <c r="T182" s="228"/>
    </row>
    <row r="183" spans="1:20" ht="46.5" x14ac:dyDescent="0.35">
      <c r="A183" s="9">
        <v>182</v>
      </c>
      <c r="B183" s="9" t="s">
        <v>356</v>
      </c>
      <c r="C183" s="9" t="s">
        <v>357</v>
      </c>
      <c r="D183" s="9" t="s">
        <v>544</v>
      </c>
      <c r="E183" s="9">
        <f>Таблица1[[#This Row],[Грунт]]+Таблица1[[#This Row],[Щебень]]+Таблица1[[#This Row],[Асфальт]]+Таблица1[[#This Row],[Бетон]]</f>
        <v>3.0449999999999999</v>
      </c>
      <c r="F183" s="104">
        <v>2.0390000000000001</v>
      </c>
      <c r="G183" s="105">
        <v>0.98799999999999999</v>
      </c>
      <c r="H183" s="106">
        <v>1.7999999999999999E-2</v>
      </c>
      <c r="I183" s="107"/>
      <c r="J183" s="165"/>
      <c r="N183" s="8" t="b">
        <f>OR(Таблица1[[#This Row],[Щебень]]&gt;0,Таблица1[[#This Row],[Асфальт]]&gt;0,Таблица1[[#This Row],[Бетон]]&gt;0)</f>
        <v>1</v>
      </c>
      <c r="O183" s="8">
        <v>1</v>
      </c>
      <c r="Q183" s="8">
        <v>182</v>
      </c>
      <c r="S183" s="228"/>
      <c r="T183" s="228"/>
    </row>
    <row r="184" spans="1:20" ht="46.5" x14ac:dyDescent="0.35">
      <c r="A184" s="9">
        <v>183</v>
      </c>
      <c r="B184" s="9" t="s">
        <v>358</v>
      </c>
      <c r="C184" s="9" t="s">
        <v>359</v>
      </c>
      <c r="D184" s="9" t="s">
        <v>544</v>
      </c>
      <c r="E184" s="9">
        <f>Таблица1[[#This Row],[Грунт]]+Таблица1[[#This Row],[Щебень]]+Таблица1[[#This Row],[Асфальт]]+Таблица1[[#This Row],[Бетон]]</f>
        <v>1</v>
      </c>
      <c r="F184" s="104">
        <v>1</v>
      </c>
      <c r="G184" s="105"/>
      <c r="H184" s="106"/>
      <c r="I184" s="107"/>
      <c r="J184" s="165"/>
      <c r="N184" s="8" t="b">
        <f>OR(Таблица1[[#This Row],[Щебень]]&gt;0,Таблица1[[#This Row],[Асфальт]]&gt;0,Таблица1[[#This Row],[Бетон]]&gt;0)</f>
        <v>0</v>
      </c>
      <c r="Q184" s="8">
        <v>183</v>
      </c>
      <c r="S184" s="228"/>
      <c r="T184" s="228"/>
    </row>
    <row r="185" spans="1:20" ht="46.5" x14ac:dyDescent="0.35">
      <c r="A185" s="9">
        <v>184</v>
      </c>
      <c r="B185" s="9" t="s">
        <v>360</v>
      </c>
      <c r="C185" s="9" t="s">
        <v>361</v>
      </c>
      <c r="D185" s="9" t="s">
        <v>544</v>
      </c>
      <c r="E185" s="9">
        <f>Таблица1[[#This Row],[Грунт]]+Таблица1[[#This Row],[Щебень]]+Таблица1[[#This Row],[Асфальт]]+Таблица1[[#This Row],[Бетон]]</f>
        <v>1.8</v>
      </c>
      <c r="F185" s="104">
        <v>1.8</v>
      </c>
      <c r="G185" s="105"/>
      <c r="H185" s="106"/>
      <c r="I185" s="107"/>
      <c r="J185" s="165"/>
      <c r="N185" s="8" t="b">
        <f>OR(Таблица1[[#This Row],[Щебень]]&gt;0,Таблица1[[#This Row],[Асфальт]]&gt;0,Таблица1[[#This Row],[Бетон]]&gt;0)</f>
        <v>0</v>
      </c>
      <c r="Q185" s="8">
        <v>184</v>
      </c>
      <c r="S185" s="228"/>
      <c r="T185" s="228"/>
    </row>
    <row r="186" spans="1:20" ht="46.5" x14ac:dyDescent="0.35">
      <c r="A186" s="9">
        <v>185</v>
      </c>
      <c r="B186" s="9" t="s">
        <v>362</v>
      </c>
      <c r="C186" s="9" t="s">
        <v>363</v>
      </c>
      <c r="D186" s="9" t="s">
        <v>544</v>
      </c>
      <c r="E186" s="9">
        <f>Таблица1[[#This Row],[Грунт]]+Таблица1[[#This Row],[Щебень]]+Таблица1[[#This Row],[Асфальт]]+Таблица1[[#This Row],[Бетон]]</f>
        <v>1</v>
      </c>
      <c r="F186" s="104">
        <v>1</v>
      </c>
      <c r="G186" s="105"/>
      <c r="H186" s="106"/>
      <c r="I186" s="107"/>
      <c r="J186" s="165"/>
      <c r="N186" s="8" t="b">
        <f>OR(Таблица1[[#This Row],[Щебень]]&gt;0,Таблица1[[#This Row],[Асфальт]]&gt;0,Таблица1[[#This Row],[Бетон]]&gt;0)</f>
        <v>0</v>
      </c>
      <c r="Q186" s="8">
        <v>185</v>
      </c>
      <c r="S186" s="228"/>
      <c r="T186" s="228"/>
    </row>
    <row r="187" spans="1:20" ht="46.5" x14ac:dyDescent="0.35">
      <c r="A187" s="9">
        <v>186</v>
      </c>
      <c r="B187" s="9" t="s">
        <v>364</v>
      </c>
      <c r="C187" s="9" t="s">
        <v>365</v>
      </c>
      <c r="D187" s="9" t="s">
        <v>544</v>
      </c>
      <c r="E187" s="9">
        <f>Таблица1[[#This Row],[Грунт]]+Таблица1[[#This Row],[Щебень]]+Таблица1[[#This Row],[Асфальт]]+Таблица1[[#This Row],[Бетон]]</f>
        <v>1.1000000000000001</v>
      </c>
      <c r="F187" s="104">
        <v>1.1000000000000001</v>
      </c>
      <c r="G187" s="105"/>
      <c r="H187" s="106"/>
      <c r="I187" s="107"/>
      <c r="J187" s="165"/>
      <c r="N187" s="8" t="b">
        <f>OR(Таблица1[[#This Row],[Щебень]]&gt;0,Таблица1[[#This Row],[Асфальт]]&gt;0,Таблица1[[#This Row],[Бетон]]&gt;0)</f>
        <v>0</v>
      </c>
      <c r="Q187" s="8">
        <v>186</v>
      </c>
      <c r="S187" s="228"/>
      <c r="T187" s="228"/>
    </row>
    <row r="188" spans="1:20" ht="46.5" x14ac:dyDescent="0.35">
      <c r="A188" s="9">
        <v>187</v>
      </c>
      <c r="B188" s="9" t="s">
        <v>334</v>
      </c>
      <c r="C188" s="9" t="s">
        <v>366</v>
      </c>
      <c r="D188" s="9" t="s">
        <v>545</v>
      </c>
      <c r="E188" s="9">
        <f>Таблица1[[#This Row],[Грунт]]+Таблица1[[#This Row],[Щебень]]+Таблица1[[#This Row],[Асфальт]]+Таблица1[[#This Row],[Бетон]]</f>
        <v>4.32</v>
      </c>
      <c r="F188" s="104">
        <v>2</v>
      </c>
      <c r="G188" s="105">
        <v>2</v>
      </c>
      <c r="H188" s="106"/>
      <c r="I188" s="107">
        <v>0.32</v>
      </c>
      <c r="J188" s="165"/>
      <c r="K188" s="10" t="s">
        <v>557</v>
      </c>
      <c r="N188" s="8" t="b">
        <f>OR(Таблица1[[#This Row],[Щебень]]&gt;0,Таблица1[[#This Row],[Асфальт]]&gt;0,Таблица1[[#This Row],[Бетон]]&gt;0)</f>
        <v>1</v>
      </c>
      <c r="O188" s="8">
        <v>1</v>
      </c>
      <c r="Q188" s="8">
        <v>187</v>
      </c>
      <c r="S188" s="228"/>
      <c r="T188" s="228"/>
    </row>
    <row r="189" spans="1:20" ht="46.5" x14ac:dyDescent="0.35">
      <c r="A189" s="9">
        <v>188</v>
      </c>
      <c r="B189" s="9" t="s">
        <v>336</v>
      </c>
      <c r="C189" s="9" t="s">
        <v>367</v>
      </c>
      <c r="D189" s="9" t="s">
        <v>545</v>
      </c>
      <c r="E189" s="9">
        <f>Таблица1[[#This Row],[Грунт]]+Таблица1[[#This Row],[Щебень]]+Таблица1[[#This Row],[Асфальт]]+Таблица1[[#This Row],[Бетон]]</f>
        <v>2.2000000000000002</v>
      </c>
      <c r="F189" s="104">
        <v>0.7</v>
      </c>
      <c r="G189" s="105"/>
      <c r="H189" s="106">
        <v>1.5</v>
      </c>
      <c r="I189" s="107"/>
      <c r="J189" s="165"/>
      <c r="K189" s="10" t="s">
        <v>557</v>
      </c>
      <c r="N189" s="8" t="b">
        <f>OR(Таблица1[[#This Row],[Щебень]]&gt;0,Таблица1[[#This Row],[Асфальт]]&gt;0,Таблица1[[#This Row],[Бетон]]&gt;0)</f>
        <v>1</v>
      </c>
      <c r="O189" s="8">
        <v>1</v>
      </c>
      <c r="Q189" s="8">
        <v>188</v>
      </c>
      <c r="S189" s="228"/>
      <c r="T189" s="228"/>
    </row>
    <row r="190" spans="1:20" ht="46.5" x14ac:dyDescent="0.35">
      <c r="A190" s="9">
        <v>189</v>
      </c>
      <c r="B190" s="9" t="s">
        <v>338</v>
      </c>
      <c r="C190" s="9" t="s">
        <v>368</v>
      </c>
      <c r="D190" s="9" t="s">
        <v>545</v>
      </c>
      <c r="E190" s="9">
        <f>Таблица1[[#This Row],[Грунт]]+Таблица1[[#This Row],[Щебень]]+Таблица1[[#This Row],[Асфальт]]+Таблица1[[#This Row],[Бетон]]</f>
        <v>1.5</v>
      </c>
      <c r="F190" s="104">
        <v>1.5</v>
      </c>
      <c r="G190" s="105"/>
      <c r="H190" s="106"/>
      <c r="I190" s="107"/>
      <c r="J190" s="165"/>
      <c r="N190" s="8" t="b">
        <f>OR(Таблица1[[#This Row],[Щебень]]&gt;0,Таблица1[[#This Row],[Асфальт]]&gt;0,Таблица1[[#This Row],[Бетон]]&gt;0)</f>
        <v>0</v>
      </c>
      <c r="Q190" s="8">
        <v>189</v>
      </c>
      <c r="S190" s="228"/>
      <c r="T190" s="228"/>
    </row>
    <row r="191" spans="1:20" ht="46.5" x14ac:dyDescent="0.35">
      <c r="A191" s="9">
        <v>190</v>
      </c>
      <c r="B191" s="9" t="s">
        <v>567</v>
      </c>
      <c r="C191" s="9" t="s">
        <v>369</v>
      </c>
      <c r="D191" s="9" t="s">
        <v>545</v>
      </c>
      <c r="E191" s="9">
        <f>Таблица1[[#This Row],[Грунт]]+Таблица1[[#This Row],[Щебень]]+Таблица1[[#This Row],[Асфальт]]+Таблица1[[#This Row],[Бетон]]</f>
        <v>2.1</v>
      </c>
      <c r="F191" s="104">
        <v>2.1</v>
      </c>
      <c r="G191" s="105"/>
      <c r="H191" s="106"/>
      <c r="I191" s="107"/>
      <c r="J191" s="165"/>
      <c r="N191" s="12" t="b">
        <f>OR(Таблица1[[#This Row],[Щебень]]&gt;0,Таблица1[[#This Row],[Асфальт]]&gt;0,Таблица1[[#This Row],[Бетон]]&gt;0)</f>
        <v>0</v>
      </c>
      <c r="Q191" s="8">
        <v>190</v>
      </c>
      <c r="S191" s="228"/>
      <c r="T191" s="228"/>
    </row>
    <row r="192" spans="1:20" ht="46.5" x14ac:dyDescent="0.35">
      <c r="A192" s="9">
        <v>192</v>
      </c>
      <c r="B192" s="9" t="s">
        <v>342</v>
      </c>
      <c r="C192" s="9" t="s">
        <v>370</v>
      </c>
      <c r="D192" s="9" t="s">
        <v>545</v>
      </c>
      <c r="E192" s="9">
        <f>Таблица1[[#This Row],[Грунт]]+Таблица1[[#This Row],[Щебень]]+Таблица1[[#This Row],[Асфальт]]+Таблица1[[#This Row],[Бетон]]</f>
        <v>1</v>
      </c>
      <c r="F192" s="104">
        <v>1</v>
      </c>
      <c r="G192" s="105"/>
      <c r="H192" s="106"/>
      <c r="I192" s="107"/>
      <c r="J192" s="165"/>
      <c r="N192" s="8" t="b">
        <f>OR(Таблица1[[#This Row],[Щебень]]&gt;0,Таблица1[[#This Row],[Асфальт]]&gt;0,Таблица1[[#This Row],[Бетон]]&gt;0)</f>
        <v>0</v>
      </c>
      <c r="Q192" s="8">
        <v>191</v>
      </c>
      <c r="S192" s="228"/>
      <c r="T192" s="228"/>
    </row>
    <row r="193" spans="1:20" ht="46.5" x14ac:dyDescent="0.35">
      <c r="A193" s="9">
        <v>193</v>
      </c>
      <c r="B193" s="9" t="s">
        <v>344</v>
      </c>
      <c r="C193" s="9" t="s">
        <v>371</v>
      </c>
      <c r="D193" s="9" t="s">
        <v>545</v>
      </c>
      <c r="E193" s="9">
        <f>Таблица1[[#This Row],[Грунт]]+Таблица1[[#This Row],[Щебень]]+Таблица1[[#This Row],[Асфальт]]+Таблица1[[#This Row],[Бетон]]</f>
        <v>1.5</v>
      </c>
      <c r="F193" s="104">
        <v>1.5</v>
      </c>
      <c r="G193" s="105"/>
      <c r="H193" s="106"/>
      <c r="I193" s="107"/>
      <c r="J193" s="165"/>
      <c r="N193" s="8" t="b">
        <f>OR(Таблица1[[#This Row],[Щебень]]&gt;0,Таблица1[[#This Row],[Асфальт]]&gt;0,Таблица1[[#This Row],[Бетон]]&gt;0)</f>
        <v>0</v>
      </c>
      <c r="Q193" s="8">
        <v>192</v>
      </c>
      <c r="S193" s="228"/>
      <c r="T193" s="228"/>
    </row>
    <row r="194" spans="1:20" ht="46.5" x14ac:dyDescent="0.35">
      <c r="A194" s="9">
        <v>194</v>
      </c>
      <c r="B194" s="9" t="s">
        <v>346</v>
      </c>
      <c r="C194" s="9" t="s">
        <v>372</v>
      </c>
      <c r="D194" s="9" t="s">
        <v>545</v>
      </c>
      <c r="E194" s="9">
        <f>Таблица1[[#This Row],[Грунт]]+Таблица1[[#This Row],[Щебень]]+Таблица1[[#This Row],[Асфальт]]+Таблица1[[#This Row],[Бетон]]</f>
        <v>2.5</v>
      </c>
      <c r="F194" s="104">
        <v>2.5</v>
      </c>
      <c r="G194" s="105"/>
      <c r="H194" s="106"/>
      <c r="I194" s="107"/>
      <c r="J194" s="165"/>
      <c r="N194" s="8" t="b">
        <f>OR(Таблица1[[#This Row],[Щебень]]&gt;0,Таблица1[[#This Row],[Асфальт]]&gt;0,Таблица1[[#This Row],[Бетон]]&gt;0)</f>
        <v>0</v>
      </c>
      <c r="Q194" s="8">
        <v>193</v>
      </c>
      <c r="S194" s="228"/>
      <c r="T194" s="228"/>
    </row>
    <row r="195" spans="1:20" ht="46.5" x14ac:dyDescent="0.35">
      <c r="A195" s="9">
        <v>195</v>
      </c>
      <c r="B195" s="9" t="s">
        <v>348</v>
      </c>
      <c r="C195" s="9" t="s">
        <v>373</v>
      </c>
      <c r="D195" s="9" t="s">
        <v>545</v>
      </c>
      <c r="E195" s="9">
        <f>Таблица1[[#This Row],[Грунт]]+Таблица1[[#This Row],[Щебень]]+Таблица1[[#This Row],[Асфальт]]+Таблица1[[#This Row],[Бетон]]</f>
        <v>1.5</v>
      </c>
      <c r="F195" s="104">
        <v>1.5</v>
      </c>
      <c r="G195" s="105"/>
      <c r="H195" s="106"/>
      <c r="I195" s="107"/>
      <c r="J195" s="165"/>
      <c r="N195" s="8" t="b">
        <f>OR(Таблица1[[#This Row],[Щебень]]&gt;0,Таблица1[[#This Row],[Асфальт]]&gt;0,Таблица1[[#This Row],[Бетон]]&gt;0)</f>
        <v>0</v>
      </c>
      <c r="Q195" s="8">
        <v>194</v>
      </c>
      <c r="S195" s="228"/>
      <c r="T195" s="228"/>
    </row>
    <row r="196" spans="1:20" ht="46.5" x14ac:dyDescent="0.35">
      <c r="A196" s="9">
        <v>196</v>
      </c>
      <c r="B196" s="9" t="s">
        <v>350</v>
      </c>
      <c r="C196" s="9" t="s">
        <v>374</v>
      </c>
      <c r="D196" s="9" t="s">
        <v>545</v>
      </c>
      <c r="E196" s="9">
        <f>Таблица1[[#This Row],[Грунт]]+Таблица1[[#This Row],[Щебень]]+Таблица1[[#This Row],[Асфальт]]+Таблица1[[#This Row],[Бетон]]</f>
        <v>1.7</v>
      </c>
      <c r="F196" s="104">
        <v>0.2</v>
      </c>
      <c r="G196" s="105">
        <v>1.5</v>
      </c>
      <c r="H196" s="106"/>
      <c r="I196" s="107"/>
      <c r="J196" s="165"/>
      <c r="K196" s="10" t="s">
        <v>557</v>
      </c>
      <c r="N196" s="8" t="b">
        <f>OR(Таблица1[[#This Row],[Щебень]]&gt;0,Таблица1[[#This Row],[Асфальт]]&gt;0,Таблица1[[#This Row],[Бетон]]&gt;0)</f>
        <v>1</v>
      </c>
      <c r="O196" s="8">
        <v>1</v>
      </c>
      <c r="Q196" s="8">
        <v>195</v>
      </c>
      <c r="S196" s="228"/>
      <c r="T196" s="228"/>
    </row>
    <row r="197" spans="1:20" ht="46.5" x14ac:dyDescent="0.35">
      <c r="A197" s="9">
        <v>197</v>
      </c>
      <c r="B197" s="9" t="s">
        <v>352</v>
      </c>
      <c r="C197" s="9" t="s">
        <v>375</v>
      </c>
      <c r="D197" s="9" t="s">
        <v>545</v>
      </c>
      <c r="E197" s="9">
        <f>Таблица1[[#This Row],[Грунт]]+Таблица1[[#This Row],[Щебень]]+Таблица1[[#This Row],[Асфальт]]+Таблица1[[#This Row],[Бетон]]</f>
        <v>1.2</v>
      </c>
      <c r="F197" s="104">
        <v>1.2</v>
      </c>
      <c r="G197" s="105"/>
      <c r="H197" s="106"/>
      <c r="I197" s="107"/>
      <c r="J197" s="165"/>
      <c r="N197" s="8" t="b">
        <f>OR(Таблица1[[#This Row],[Щебень]]&gt;0,Таблица1[[#This Row],[Асфальт]]&gt;0,Таблица1[[#This Row],[Бетон]]&gt;0)</f>
        <v>0</v>
      </c>
      <c r="Q197" s="8">
        <v>196</v>
      </c>
      <c r="S197" s="228"/>
      <c r="T197" s="228"/>
    </row>
    <row r="198" spans="1:20" ht="46.5" x14ac:dyDescent="0.35">
      <c r="A198" s="9">
        <v>198</v>
      </c>
      <c r="B198" s="9" t="s">
        <v>354</v>
      </c>
      <c r="C198" s="9" t="s">
        <v>376</v>
      </c>
      <c r="D198" s="9" t="s">
        <v>545</v>
      </c>
      <c r="E198" s="9">
        <f>Таблица1[[#This Row],[Грунт]]+Таблица1[[#This Row],[Щебень]]+Таблица1[[#This Row],[Асфальт]]+Таблица1[[#This Row],[Бетон]]</f>
        <v>1</v>
      </c>
      <c r="F198" s="104">
        <v>1</v>
      </c>
      <c r="G198" s="105"/>
      <c r="H198" s="106"/>
      <c r="I198" s="107"/>
      <c r="J198" s="165"/>
      <c r="N198" s="8" t="b">
        <f>OR(Таблица1[[#This Row],[Щебень]]&gt;0,Таблица1[[#This Row],[Асфальт]]&gt;0,Таблица1[[#This Row],[Бетон]]&gt;0)</f>
        <v>0</v>
      </c>
      <c r="Q198" s="8">
        <v>197</v>
      </c>
      <c r="S198" s="228"/>
      <c r="T198" s="228"/>
    </row>
    <row r="199" spans="1:20" ht="46.5" x14ac:dyDescent="0.35">
      <c r="A199" s="9">
        <v>199</v>
      </c>
      <c r="B199" s="9" t="s">
        <v>377</v>
      </c>
      <c r="C199" s="9" t="s">
        <v>378</v>
      </c>
      <c r="D199" s="9" t="s">
        <v>546</v>
      </c>
      <c r="E199" s="9">
        <f>Таблица1[[#This Row],[Грунт]]+Таблица1[[#This Row],[Щебень]]+Таблица1[[#This Row],[Асфальт]]+Таблица1[[#This Row],[Бетон]]</f>
        <v>1.5</v>
      </c>
      <c r="F199" s="104">
        <v>1.3</v>
      </c>
      <c r="G199" s="105"/>
      <c r="H199" s="106">
        <v>0.2</v>
      </c>
      <c r="I199" s="107"/>
      <c r="J199" s="165"/>
      <c r="L199" s="10"/>
      <c r="M199" s="10"/>
      <c r="N199" s="8" t="b">
        <f>OR(Таблица1[[#This Row],[Щебень]]&gt;0,Таблица1[[#This Row],[Асфальт]]&gt;0,Таблица1[[#This Row],[Бетон]]&gt;0)</f>
        <v>1</v>
      </c>
      <c r="O199" s="8">
        <v>1</v>
      </c>
      <c r="Q199" s="8">
        <v>198</v>
      </c>
      <c r="S199" s="228"/>
      <c r="T199" s="228"/>
    </row>
    <row r="200" spans="1:20" ht="46.5" x14ac:dyDescent="0.35">
      <c r="A200" s="9">
        <v>200</v>
      </c>
      <c r="B200" s="9" t="s">
        <v>379</v>
      </c>
      <c r="C200" s="9" t="s">
        <v>380</v>
      </c>
      <c r="D200" s="9" t="s">
        <v>546</v>
      </c>
      <c r="E200" s="9">
        <f>Таблица1[[#This Row],[Грунт]]+Таблица1[[#This Row],[Щебень]]+Таблица1[[#This Row],[Асфальт]]+Таблица1[[#This Row],[Бетон]]</f>
        <v>2</v>
      </c>
      <c r="F200" s="104">
        <v>2</v>
      </c>
      <c r="G200" s="105"/>
      <c r="H200" s="106"/>
      <c r="I200" s="107"/>
      <c r="J200" s="165"/>
      <c r="L200" s="10"/>
      <c r="M200" s="10"/>
      <c r="N200" s="8" t="b">
        <f>OR(Таблица1[[#This Row],[Щебень]]&gt;0,Таблица1[[#This Row],[Асфальт]]&gt;0,Таблица1[[#This Row],[Бетон]]&gt;0)</f>
        <v>0</v>
      </c>
      <c r="O200" s="8">
        <f>H40+H45+H199</f>
        <v>8.6999999999999993</v>
      </c>
      <c r="Q200" s="8">
        <v>199</v>
      </c>
      <c r="S200" s="228"/>
      <c r="T200" s="228"/>
    </row>
    <row r="201" spans="1:20" ht="46.5" x14ac:dyDescent="0.35">
      <c r="A201" s="9">
        <v>201</v>
      </c>
      <c r="B201" s="9" t="s">
        <v>381</v>
      </c>
      <c r="C201" s="9" t="s">
        <v>382</v>
      </c>
      <c r="D201" s="9" t="s">
        <v>546</v>
      </c>
      <c r="E201" s="9">
        <f>Таблица1[[#This Row],[Грунт]]+Таблица1[[#This Row],[Щебень]]+Таблица1[[#This Row],[Асфальт]]+Таблица1[[#This Row],[Бетон]]</f>
        <v>2</v>
      </c>
      <c r="F201" s="104">
        <v>2</v>
      </c>
      <c r="G201" s="105"/>
      <c r="H201" s="106"/>
      <c r="I201" s="107"/>
      <c r="J201" s="165"/>
      <c r="L201" s="10"/>
      <c r="M201" s="10"/>
      <c r="N201" s="8" t="b">
        <f>OR(Таблица1[[#This Row],[Щебень]]&gt;0,Таблица1[[#This Row],[Асфальт]]&gt;0,Таблица1[[#This Row],[Бетон]]&gt;0)</f>
        <v>0</v>
      </c>
      <c r="Q201" s="8">
        <v>200</v>
      </c>
      <c r="S201" s="228"/>
      <c r="T201" s="228"/>
    </row>
    <row r="202" spans="1:20" ht="46.5" x14ac:dyDescent="0.35">
      <c r="A202" s="9">
        <v>202</v>
      </c>
      <c r="B202" s="9" t="s">
        <v>383</v>
      </c>
      <c r="C202" s="9" t="s">
        <v>384</v>
      </c>
      <c r="D202" s="9" t="s">
        <v>546</v>
      </c>
      <c r="E202" s="9">
        <f>Таблица1[[#This Row],[Грунт]]+Таблица1[[#This Row],[Щебень]]+Таблица1[[#This Row],[Асфальт]]+Таблица1[[#This Row],[Бетон]]</f>
        <v>1</v>
      </c>
      <c r="F202" s="104">
        <v>1</v>
      </c>
      <c r="G202" s="105"/>
      <c r="H202" s="106"/>
      <c r="I202" s="107"/>
      <c r="J202" s="165"/>
      <c r="N202" s="8" t="b">
        <f>OR(Таблица1[[#This Row],[Щебень]]&gt;0,Таблица1[[#This Row],[Асфальт]]&gt;0,Таблица1[[#This Row],[Бетон]]&gt;0)</f>
        <v>0</v>
      </c>
      <c r="Q202" s="8">
        <v>201</v>
      </c>
      <c r="S202" s="228"/>
      <c r="T202" s="228"/>
    </row>
    <row r="203" spans="1:20" ht="46.5" x14ac:dyDescent="0.35">
      <c r="A203" s="9">
        <v>203</v>
      </c>
      <c r="B203" s="9" t="s">
        <v>385</v>
      </c>
      <c r="C203" s="9" t="s">
        <v>386</v>
      </c>
      <c r="D203" s="9" t="s">
        <v>546</v>
      </c>
      <c r="E203" s="9">
        <f>Таблица1[[#This Row],[Грунт]]+Таблица1[[#This Row],[Щебень]]+Таблица1[[#This Row],[Асфальт]]+Таблица1[[#This Row],[Бетон]]</f>
        <v>3</v>
      </c>
      <c r="F203" s="104">
        <v>3</v>
      </c>
      <c r="G203" s="105"/>
      <c r="H203" s="106"/>
      <c r="I203" s="107"/>
      <c r="J203" s="165"/>
      <c r="N203" s="8" t="b">
        <f>OR(Таблица1[[#This Row],[Щебень]]&gt;0,Таблица1[[#This Row],[Асфальт]]&gt;0,Таблица1[[#This Row],[Бетон]]&gt;0)</f>
        <v>0</v>
      </c>
      <c r="Q203" s="8">
        <v>202</v>
      </c>
      <c r="S203" s="228"/>
      <c r="T203" s="228"/>
    </row>
    <row r="204" spans="1:20" ht="46.5" x14ac:dyDescent="0.35">
      <c r="A204" s="9">
        <v>204</v>
      </c>
      <c r="B204" s="9" t="s">
        <v>387</v>
      </c>
      <c r="C204" s="9" t="s">
        <v>388</v>
      </c>
      <c r="D204" s="9" t="s">
        <v>546</v>
      </c>
      <c r="E204" s="9">
        <f>Таблица1[[#This Row],[Грунт]]+Таблица1[[#This Row],[Щебень]]+Таблица1[[#This Row],[Асфальт]]+Таблица1[[#This Row],[Бетон]]</f>
        <v>1</v>
      </c>
      <c r="F204" s="104">
        <v>1</v>
      </c>
      <c r="G204" s="105"/>
      <c r="H204" s="106"/>
      <c r="I204" s="107"/>
      <c r="J204" s="165"/>
      <c r="N204" s="8" t="b">
        <f>OR(Таблица1[[#This Row],[Щебень]]&gt;0,Таблица1[[#This Row],[Асфальт]]&gt;0,Таблица1[[#This Row],[Бетон]]&gt;0)</f>
        <v>0</v>
      </c>
      <c r="Q204" s="8">
        <v>203</v>
      </c>
      <c r="S204" s="228"/>
      <c r="T204" s="228"/>
    </row>
    <row r="205" spans="1:20" ht="46.5" x14ac:dyDescent="0.35">
      <c r="A205" s="9">
        <v>205</v>
      </c>
      <c r="B205" s="9" t="s">
        <v>389</v>
      </c>
      <c r="C205" s="9" t="s">
        <v>390</v>
      </c>
      <c r="D205" s="9" t="s">
        <v>546</v>
      </c>
      <c r="E205" s="9">
        <f>Таблица1[[#This Row],[Грунт]]+Таблица1[[#This Row],[Щебень]]+Таблица1[[#This Row],[Асфальт]]+Таблица1[[#This Row],[Бетон]]</f>
        <v>1.5</v>
      </c>
      <c r="F205" s="104">
        <v>1.5</v>
      </c>
      <c r="G205" s="105"/>
      <c r="H205" s="106"/>
      <c r="I205" s="107"/>
      <c r="J205" s="165"/>
      <c r="N205" s="8" t="b">
        <f>OR(Таблица1[[#This Row],[Щебень]]&gt;0,Таблица1[[#This Row],[Асфальт]]&gt;0,Таблица1[[#This Row],[Бетон]]&gt;0)</f>
        <v>0</v>
      </c>
      <c r="Q205" s="8">
        <v>204</v>
      </c>
      <c r="S205" s="228"/>
      <c r="T205" s="228"/>
    </row>
    <row r="206" spans="1:20" ht="46.5" x14ac:dyDescent="0.35">
      <c r="A206" s="9">
        <v>206</v>
      </c>
      <c r="B206" s="9" t="s">
        <v>391</v>
      </c>
      <c r="C206" s="9" t="s">
        <v>392</v>
      </c>
      <c r="D206" s="9" t="s">
        <v>546</v>
      </c>
      <c r="E206" s="9">
        <f>Таблица1[[#This Row],[Грунт]]+Таблица1[[#This Row],[Щебень]]+Таблица1[[#This Row],[Асфальт]]+Таблица1[[#This Row],[Бетон]]</f>
        <v>1.5</v>
      </c>
      <c r="F206" s="104">
        <v>1.5</v>
      </c>
      <c r="G206" s="105"/>
      <c r="H206" s="106"/>
      <c r="I206" s="107"/>
      <c r="J206" s="165"/>
      <c r="N206" s="8" t="b">
        <f>OR(Таблица1[[#This Row],[Щебень]]&gt;0,Таблица1[[#This Row],[Асфальт]]&gt;0,Таблица1[[#This Row],[Бетон]]&gt;0)</f>
        <v>0</v>
      </c>
      <c r="Q206" s="8">
        <v>205</v>
      </c>
      <c r="S206" s="228"/>
      <c r="T206" s="228"/>
    </row>
    <row r="207" spans="1:20" ht="46.5" x14ac:dyDescent="0.35">
      <c r="A207" s="9">
        <v>207</v>
      </c>
      <c r="B207" s="9" t="s">
        <v>393</v>
      </c>
      <c r="C207" s="9" t="s">
        <v>394</v>
      </c>
      <c r="D207" s="9" t="s">
        <v>546</v>
      </c>
      <c r="E207" s="9">
        <f>Таблица1[[#This Row],[Грунт]]+Таблица1[[#This Row],[Щебень]]+Таблица1[[#This Row],[Асфальт]]+Таблица1[[#This Row],[Бетон]]</f>
        <v>1.5</v>
      </c>
      <c r="F207" s="104">
        <v>1.5</v>
      </c>
      <c r="G207" s="105"/>
      <c r="H207" s="106"/>
      <c r="I207" s="107"/>
      <c r="J207" s="165"/>
      <c r="N207" s="8" t="b">
        <f>OR(Таблица1[[#This Row],[Щебень]]&gt;0,Таблица1[[#This Row],[Асфальт]]&gt;0,Таблица1[[#This Row],[Бетон]]&gt;0)</f>
        <v>0</v>
      </c>
      <c r="Q207" s="8">
        <v>206</v>
      </c>
      <c r="S207" s="228"/>
      <c r="T207" s="228"/>
    </row>
    <row r="208" spans="1:20" ht="46.5" x14ac:dyDescent="0.35">
      <c r="A208" s="9">
        <v>208</v>
      </c>
      <c r="B208" s="9" t="s">
        <v>395</v>
      </c>
      <c r="C208" s="9" t="s">
        <v>396</v>
      </c>
      <c r="D208" s="9" t="s">
        <v>546</v>
      </c>
      <c r="E208" s="9">
        <f>Таблица1[[#This Row],[Грунт]]+Таблица1[[#This Row],[Щебень]]+Таблица1[[#This Row],[Асфальт]]+Таблица1[[#This Row],[Бетон]]</f>
        <v>1</v>
      </c>
      <c r="F208" s="104">
        <v>1</v>
      </c>
      <c r="G208" s="105"/>
      <c r="H208" s="106"/>
      <c r="I208" s="107"/>
      <c r="J208" s="165"/>
      <c r="N208" s="8" t="b">
        <f>OR(Таблица1[[#This Row],[Щебень]]&gt;0,Таблица1[[#This Row],[Асфальт]]&gt;0,Таблица1[[#This Row],[Бетон]]&gt;0)</f>
        <v>0</v>
      </c>
      <c r="Q208" s="8">
        <v>207</v>
      </c>
      <c r="S208" s="228"/>
      <c r="T208" s="228"/>
    </row>
    <row r="209" spans="1:20" ht="46.5" x14ac:dyDescent="0.35">
      <c r="A209" s="9">
        <v>209</v>
      </c>
      <c r="B209" s="9" t="s">
        <v>397</v>
      </c>
      <c r="C209" s="9" t="s">
        <v>398</v>
      </c>
      <c r="D209" s="9" t="s">
        <v>547</v>
      </c>
      <c r="E209" s="9">
        <f>Таблица1[[#This Row],[Грунт]]+Таблица1[[#This Row],[Щебень]]+Таблица1[[#This Row],[Асфальт]]+Таблица1[[#This Row],[Бетон]]</f>
        <v>5.0999999999999996</v>
      </c>
      <c r="F209" s="104">
        <v>3</v>
      </c>
      <c r="G209" s="105">
        <v>1.1000000000000001</v>
      </c>
      <c r="H209" s="106">
        <v>1</v>
      </c>
      <c r="I209" s="107"/>
      <c r="J209" s="165"/>
      <c r="K209" s="10" t="s">
        <v>557</v>
      </c>
      <c r="N209" s="8" t="b">
        <f>OR(Таблица1[[#This Row],[Щебень]]&gt;0,Таблица1[[#This Row],[Асфальт]]&gt;0,Таблица1[[#This Row],[Бетон]]&gt;0)</f>
        <v>1</v>
      </c>
      <c r="O209" s="8">
        <v>1</v>
      </c>
      <c r="Q209" s="8">
        <v>208</v>
      </c>
      <c r="S209" s="228"/>
      <c r="T209" s="228"/>
    </row>
    <row r="210" spans="1:20" ht="46.5" x14ac:dyDescent="0.35">
      <c r="A210" s="9">
        <v>210</v>
      </c>
      <c r="B210" s="9" t="s">
        <v>399</v>
      </c>
      <c r="C210" s="9" t="s">
        <v>400</v>
      </c>
      <c r="D210" s="9" t="s">
        <v>547</v>
      </c>
      <c r="E210" s="9">
        <f>Таблица1[[#This Row],[Грунт]]+Таблица1[[#This Row],[Щебень]]+Таблица1[[#This Row],[Асфальт]]+Таблица1[[#This Row],[Бетон]]</f>
        <v>1.5</v>
      </c>
      <c r="F210" s="104"/>
      <c r="G210" s="105">
        <v>0.5</v>
      </c>
      <c r="H210" s="106">
        <v>1</v>
      </c>
      <c r="I210" s="107"/>
      <c r="J210" s="165"/>
      <c r="N210" s="8" t="b">
        <f>OR(Таблица1[[#This Row],[Щебень]]&gt;0,Таблица1[[#This Row],[Асфальт]]&gt;0,Таблица1[[#This Row],[Бетон]]&gt;0)</f>
        <v>1</v>
      </c>
      <c r="O210" s="8">
        <v>1</v>
      </c>
      <c r="Q210" s="8">
        <v>209</v>
      </c>
      <c r="S210" s="228"/>
      <c r="T210" s="228"/>
    </row>
    <row r="211" spans="1:20" ht="46.5" x14ac:dyDescent="0.35">
      <c r="A211" s="9">
        <v>211</v>
      </c>
      <c r="B211" s="9" t="s">
        <v>401</v>
      </c>
      <c r="C211" s="9" t="s">
        <v>402</v>
      </c>
      <c r="D211" s="9" t="s">
        <v>547</v>
      </c>
      <c r="E211" s="9">
        <f>Таблица1[[#This Row],[Грунт]]+Таблица1[[#This Row],[Щебень]]+Таблица1[[#This Row],[Асфальт]]+Таблица1[[#This Row],[Бетон]]</f>
        <v>0.5</v>
      </c>
      <c r="F211" s="104">
        <v>0.2</v>
      </c>
      <c r="G211" s="105"/>
      <c r="H211" s="106">
        <v>0.3</v>
      </c>
      <c r="I211" s="107"/>
      <c r="J211" s="165"/>
      <c r="N211" s="8" t="b">
        <f>OR(Таблица1[[#This Row],[Щебень]]&gt;0,Таблица1[[#This Row],[Асфальт]]&gt;0,Таблица1[[#This Row],[Бетон]]&gt;0)</f>
        <v>1</v>
      </c>
      <c r="O211" s="8">
        <v>1</v>
      </c>
      <c r="Q211" s="8">
        <v>210</v>
      </c>
      <c r="S211" s="228"/>
      <c r="T211" s="228"/>
    </row>
    <row r="212" spans="1:20" ht="46.5" x14ac:dyDescent="0.35">
      <c r="A212" s="9">
        <v>212</v>
      </c>
      <c r="B212" s="9" t="s">
        <v>403</v>
      </c>
      <c r="C212" s="9" t="s">
        <v>404</v>
      </c>
      <c r="D212" s="9" t="s">
        <v>547</v>
      </c>
      <c r="E212" s="9">
        <f>Таблица1[[#This Row],[Грунт]]+Таблица1[[#This Row],[Щебень]]+Таблица1[[#This Row],[Асфальт]]+Таблица1[[#This Row],[Бетон]]</f>
        <v>2.6</v>
      </c>
      <c r="F212" s="104">
        <v>1.6</v>
      </c>
      <c r="G212" s="105"/>
      <c r="H212" s="106">
        <v>1</v>
      </c>
      <c r="I212" s="107"/>
      <c r="J212" s="165"/>
      <c r="N212" s="8" t="b">
        <f>OR(Таблица1[[#This Row],[Щебень]]&gt;0,Таблица1[[#This Row],[Асфальт]]&gt;0,Таблица1[[#This Row],[Бетон]]&gt;0)</f>
        <v>1</v>
      </c>
      <c r="O212" s="8">
        <v>1</v>
      </c>
      <c r="Q212" s="8">
        <v>211</v>
      </c>
      <c r="S212" s="228"/>
      <c r="T212" s="228"/>
    </row>
    <row r="213" spans="1:20" ht="46.5" x14ac:dyDescent="0.35">
      <c r="A213" s="9">
        <v>213</v>
      </c>
      <c r="B213" s="9" t="s">
        <v>405</v>
      </c>
      <c r="C213" s="9" t="s">
        <v>406</v>
      </c>
      <c r="D213" s="9" t="s">
        <v>547</v>
      </c>
      <c r="E213" s="9">
        <f>Таблица1[[#This Row],[Грунт]]+Таблица1[[#This Row],[Щебень]]+Таблица1[[#This Row],[Асфальт]]+Таблица1[[#This Row],[Бетон]]</f>
        <v>0.6</v>
      </c>
      <c r="F213" s="104"/>
      <c r="G213" s="105">
        <v>0.6</v>
      </c>
      <c r="H213" s="106"/>
      <c r="I213" s="107"/>
      <c r="J213" s="165"/>
      <c r="N213" s="8" t="b">
        <f>OR(Таблица1[[#This Row],[Щебень]]&gt;0,Таблица1[[#This Row],[Асфальт]]&gt;0,Таблица1[[#This Row],[Бетон]]&gt;0)</f>
        <v>1</v>
      </c>
      <c r="O213" s="8">
        <v>1</v>
      </c>
      <c r="Q213" s="8">
        <v>212</v>
      </c>
      <c r="S213" s="228"/>
      <c r="T213" s="228"/>
    </row>
    <row r="214" spans="1:20" ht="46.5" x14ac:dyDescent="0.35">
      <c r="A214" s="9">
        <v>214</v>
      </c>
      <c r="B214" s="9" t="s">
        <v>407</v>
      </c>
      <c r="C214" s="9" t="s">
        <v>408</v>
      </c>
      <c r="D214" s="9" t="s">
        <v>547</v>
      </c>
      <c r="E214" s="9">
        <f>Таблица1[[#This Row],[Грунт]]+Таблица1[[#This Row],[Щебень]]+Таблица1[[#This Row],[Асфальт]]+Таблица1[[#This Row],[Бетон]]</f>
        <v>0.7</v>
      </c>
      <c r="F214" s="104">
        <v>0.7</v>
      </c>
      <c r="G214" s="105"/>
      <c r="H214" s="106"/>
      <c r="I214" s="107"/>
      <c r="J214" s="165"/>
      <c r="N214" s="8" t="b">
        <f>OR(Таблица1[[#This Row],[Щебень]]&gt;0,Таблица1[[#This Row],[Асфальт]]&gt;0,Таблица1[[#This Row],[Бетон]]&gt;0)</f>
        <v>0</v>
      </c>
      <c r="Q214" s="8">
        <v>213</v>
      </c>
      <c r="S214" s="228"/>
      <c r="T214" s="228"/>
    </row>
    <row r="215" spans="1:20" ht="46.5" x14ac:dyDescent="0.35">
      <c r="A215" s="9">
        <v>215</v>
      </c>
      <c r="B215" s="9" t="s">
        <v>409</v>
      </c>
      <c r="C215" s="9" t="s">
        <v>410</v>
      </c>
      <c r="D215" s="9" t="s">
        <v>547</v>
      </c>
      <c r="E215" s="9">
        <f>Таблица1[[#This Row],[Грунт]]+Таблица1[[#This Row],[Щебень]]+Таблица1[[#This Row],[Асфальт]]+Таблица1[[#This Row],[Бетон]]</f>
        <v>1</v>
      </c>
      <c r="F215" s="104">
        <v>0.5</v>
      </c>
      <c r="G215" s="105">
        <v>0.5</v>
      </c>
      <c r="H215" s="106"/>
      <c r="I215" s="107"/>
      <c r="J215" s="165"/>
      <c r="N215" s="8" t="b">
        <f>OR(Таблица1[[#This Row],[Щебень]]&gt;0,Таблица1[[#This Row],[Асфальт]]&gt;0,Таблица1[[#This Row],[Бетон]]&gt;0)</f>
        <v>1</v>
      </c>
      <c r="O215" s="8">
        <v>1</v>
      </c>
      <c r="Q215" s="8">
        <v>214</v>
      </c>
      <c r="S215" s="228"/>
      <c r="T215" s="228"/>
    </row>
    <row r="216" spans="1:20" ht="46.5" x14ac:dyDescent="0.35">
      <c r="A216" s="9">
        <v>216</v>
      </c>
      <c r="B216" s="9" t="s">
        <v>411</v>
      </c>
      <c r="C216" s="9" t="s">
        <v>412</v>
      </c>
      <c r="D216" s="9" t="s">
        <v>548</v>
      </c>
      <c r="E216" s="9">
        <f>Таблица1[[#This Row],[Грунт]]+Таблица1[[#This Row],[Щебень]]+Таблица1[[#This Row],[Асфальт]]+Таблица1[[#This Row],[Бетон]]</f>
        <v>4.9000000000000004</v>
      </c>
      <c r="F216" s="104">
        <v>0.3</v>
      </c>
      <c r="G216" s="105">
        <v>1.3</v>
      </c>
      <c r="H216" s="106">
        <v>3.3</v>
      </c>
      <c r="I216" s="107"/>
      <c r="J216" s="165"/>
      <c r="K216" s="10" t="s">
        <v>557</v>
      </c>
      <c r="N216" s="8" t="b">
        <f>OR(Таблица1[[#This Row],[Щебень]]&gt;0,Таблица1[[#This Row],[Асфальт]]&gt;0,Таблица1[[#This Row],[Бетон]]&gt;0)</f>
        <v>1</v>
      </c>
      <c r="O216" s="8">
        <v>1</v>
      </c>
      <c r="Q216" s="8">
        <v>215</v>
      </c>
      <c r="S216" s="228"/>
      <c r="T216" s="228"/>
    </row>
    <row r="217" spans="1:20" ht="46.5" x14ac:dyDescent="0.35">
      <c r="A217" s="9">
        <v>217</v>
      </c>
      <c r="B217" s="9" t="s">
        <v>413</v>
      </c>
      <c r="C217" s="9" t="s">
        <v>414</v>
      </c>
      <c r="D217" s="9" t="s">
        <v>548</v>
      </c>
      <c r="E217" s="9">
        <f>Таблица1[[#This Row],[Грунт]]+Таблица1[[#This Row],[Щебень]]+Таблица1[[#This Row],[Асфальт]]+Таблица1[[#This Row],[Бетон]]</f>
        <v>0.7</v>
      </c>
      <c r="F217" s="104"/>
      <c r="G217" s="105"/>
      <c r="H217" s="106">
        <v>0.7</v>
      </c>
      <c r="I217" s="107"/>
      <c r="J217" s="165"/>
      <c r="K217" s="8" t="s">
        <v>558</v>
      </c>
      <c r="N217" s="8" t="b">
        <f>OR(Таблица1[[#This Row],[Щебень]]&gt;0,Таблица1[[#This Row],[Асфальт]]&gt;0,Таблица1[[#This Row],[Бетон]]&gt;0)</f>
        <v>1</v>
      </c>
      <c r="O217" s="8">
        <v>1</v>
      </c>
      <c r="Q217" s="8">
        <v>216</v>
      </c>
      <c r="S217" s="228"/>
      <c r="T217" s="228"/>
    </row>
    <row r="218" spans="1:20" ht="46.5" x14ac:dyDescent="0.35">
      <c r="A218" s="9">
        <v>218</v>
      </c>
      <c r="B218" s="9" t="s">
        <v>415</v>
      </c>
      <c r="C218" s="9" t="s">
        <v>416</v>
      </c>
      <c r="D218" s="9" t="s">
        <v>548</v>
      </c>
      <c r="E218" s="9">
        <f>Таблица1[[#This Row],[Грунт]]+Таблица1[[#This Row],[Щебень]]+Таблица1[[#This Row],[Асфальт]]+Таблица1[[#This Row],[Бетон]]</f>
        <v>1.7000000000000002</v>
      </c>
      <c r="F218" s="104">
        <v>1.3</v>
      </c>
      <c r="G218" s="105">
        <v>0.4</v>
      </c>
      <c r="H218" s="106"/>
      <c r="I218" s="107"/>
      <c r="J218" s="165"/>
      <c r="N218" s="8" t="b">
        <f>OR(Таблица1[[#This Row],[Щебень]]&gt;0,Таблица1[[#This Row],[Асфальт]]&gt;0,Таблица1[[#This Row],[Бетон]]&gt;0)</f>
        <v>1</v>
      </c>
      <c r="O218" s="8">
        <v>1</v>
      </c>
      <c r="Q218" s="8">
        <v>217</v>
      </c>
      <c r="S218" s="228"/>
      <c r="T218" s="228"/>
    </row>
    <row r="219" spans="1:20" ht="46.5" x14ac:dyDescent="0.35">
      <c r="A219" s="9">
        <v>219</v>
      </c>
      <c r="B219" s="9" t="s">
        <v>417</v>
      </c>
      <c r="C219" s="9" t="s">
        <v>418</v>
      </c>
      <c r="D219" s="9" t="s">
        <v>548</v>
      </c>
      <c r="E219" s="9">
        <f>Таблица1[[#This Row],[Грунт]]+Таблица1[[#This Row],[Щебень]]+Таблица1[[#This Row],[Асфальт]]+Таблица1[[#This Row],[Бетон]]</f>
        <v>0.5</v>
      </c>
      <c r="F219" s="104">
        <v>0.5</v>
      </c>
      <c r="G219" s="105"/>
      <c r="H219" s="106"/>
      <c r="I219" s="107"/>
      <c r="J219" s="165"/>
      <c r="N219" s="8" t="b">
        <f>OR(Таблица1[[#This Row],[Щебень]]&gt;0,Таблица1[[#This Row],[Асфальт]]&gt;0,Таблица1[[#This Row],[Бетон]]&gt;0)</f>
        <v>0</v>
      </c>
      <c r="Q219" s="8">
        <v>218</v>
      </c>
      <c r="S219" s="228"/>
      <c r="T219" s="228"/>
    </row>
    <row r="220" spans="1:20" ht="46.5" x14ac:dyDescent="0.35">
      <c r="A220" s="9">
        <v>220</v>
      </c>
      <c r="B220" s="9" t="s">
        <v>419</v>
      </c>
      <c r="C220" s="9" t="s">
        <v>420</v>
      </c>
      <c r="D220" s="9" t="s">
        <v>548</v>
      </c>
      <c r="E220" s="9">
        <f>Таблица1[[#This Row],[Грунт]]+Таблица1[[#This Row],[Щебень]]+Таблица1[[#This Row],[Асфальт]]+Таблица1[[#This Row],[Бетон]]</f>
        <v>0.7</v>
      </c>
      <c r="F220" s="104">
        <v>0.7</v>
      </c>
      <c r="G220" s="105"/>
      <c r="H220" s="106"/>
      <c r="I220" s="107"/>
      <c r="J220" s="165"/>
      <c r="N220" s="8" t="b">
        <f>OR(Таблица1[[#This Row],[Щебень]]&gt;0,Таблица1[[#This Row],[Асфальт]]&gt;0,Таблица1[[#This Row],[Бетон]]&gt;0)</f>
        <v>0</v>
      </c>
      <c r="Q220" s="8">
        <v>219</v>
      </c>
      <c r="S220" s="228"/>
      <c r="T220" s="228"/>
    </row>
    <row r="221" spans="1:20" ht="46.5" x14ac:dyDescent="0.35">
      <c r="A221" s="9">
        <v>221</v>
      </c>
      <c r="B221" s="9" t="s">
        <v>421</v>
      </c>
      <c r="C221" s="9" t="s">
        <v>422</v>
      </c>
      <c r="D221" s="9" t="s">
        <v>548</v>
      </c>
      <c r="E221" s="9">
        <f>Таблица1[[#This Row],[Грунт]]+Таблица1[[#This Row],[Щебень]]+Таблица1[[#This Row],[Асфальт]]+Таблица1[[#This Row],[Бетон]]</f>
        <v>0.2</v>
      </c>
      <c r="F221" s="104"/>
      <c r="G221" s="105">
        <v>0.2</v>
      </c>
      <c r="H221" s="106"/>
      <c r="I221" s="107"/>
      <c r="J221" s="165"/>
      <c r="N221" s="8" t="b">
        <f>OR(Таблица1[[#This Row],[Щебень]]&gt;0,Таблица1[[#This Row],[Асфальт]]&gt;0,Таблица1[[#This Row],[Бетон]]&gt;0)</f>
        <v>1</v>
      </c>
      <c r="O221" s="8">
        <v>1</v>
      </c>
      <c r="Q221" s="8">
        <v>220</v>
      </c>
      <c r="S221" s="228"/>
      <c r="T221" s="228"/>
    </row>
    <row r="222" spans="1:20" ht="46.5" x14ac:dyDescent="0.35">
      <c r="A222" s="9">
        <v>222</v>
      </c>
      <c r="B222" s="9" t="s">
        <v>423</v>
      </c>
      <c r="C222" s="9" t="s">
        <v>424</v>
      </c>
      <c r="D222" s="9" t="s">
        <v>548</v>
      </c>
      <c r="E222" s="9">
        <f>Таблица1[[#This Row],[Грунт]]+Таблица1[[#This Row],[Щебень]]+Таблица1[[#This Row],[Асфальт]]+Таблица1[[#This Row],[Бетон]]</f>
        <v>0.4</v>
      </c>
      <c r="F222" s="104">
        <v>0.4</v>
      </c>
      <c r="G222" s="105"/>
      <c r="H222" s="106"/>
      <c r="I222" s="107"/>
      <c r="J222" s="165"/>
      <c r="N222" s="8" t="b">
        <f>OR(Таблица1[[#This Row],[Щебень]]&gt;0,Таблица1[[#This Row],[Асфальт]]&gt;0,Таблица1[[#This Row],[Бетон]]&gt;0)</f>
        <v>0</v>
      </c>
      <c r="Q222" s="8">
        <v>221</v>
      </c>
      <c r="S222" s="228"/>
      <c r="T222" s="228"/>
    </row>
    <row r="223" spans="1:20" ht="46.5" x14ac:dyDescent="0.35">
      <c r="A223" s="9">
        <v>223</v>
      </c>
      <c r="B223" s="9" t="s">
        <v>425</v>
      </c>
      <c r="C223" s="9" t="s">
        <v>426</v>
      </c>
      <c r="D223" s="9" t="s">
        <v>548</v>
      </c>
      <c r="E223" s="9">
        <f>Таблица1[[#This Row],[Грунт]]+Таблица1[[#This Row],[Щебень]]+Таблица1[[#This Row],[Асфальт]]+Таблица1[[#This Row],[Бетон]]</f>
        <v>9.5</v>
      </c>
      <c r="F223" s="104">
        <v>7.9</v>
      </c>
      <c r="G223" s="105"/>
      <c r="H223" s="106">
        <v>1.6</v>
      </c>
      <c r="I223" s="107"/>
      <c r="J223" s="165"/>
      <c r="K223" s="10" t="s">
        <v>557</v>
      </c>
      <c r="N223" s="8" t="b">
        <f>OR(Таблица1[[#This Row],[Щебень]]&gt;0,Таблица1[[#This Row],[Асфальт]]&gt;0,Таблица1[[#This Row],[Бетон]]&gt;0)</f>
        <v>1</v>
      </c>
      <c r="O223" s="8">
        <v>1</v>
      </c>
      <c r="Q223" s="8">
        <v>222</v>
      </c>
      <c r="S223" s="228">
        <f>Таблица1[[#This Row],[Протяженность(км)]]-9.5</f>
        <v>0</v>
      </c>
      <c r="T223" s="228">
        <f>9.5-Таблица1[[#This Row],[Протяженность(км)]]</f>
        <v>0</v>
      </c>
    </row>
    <row r="224" spans="1:20" ht="46.5" x14ac:dyDescent="0.35">
      <c r="A224" s="9">
        <v>224</v>
      </c>
      <c r="B224" s="9" t="s">
        <v>427</v>
      </c>
      <c r="C224" s="9" t="s">
        <v>428</v>
      </c>
      <c r="D224" s="9" t="s">
        <v>548</v>
      </c>
      <c r="E224" s="9">
        <f>Таблица1[[#This Row],[Грунт]]+Таблица1[[#This Row],[Щебень]]+Таблица1[[#This Row],[Асфальт]]+Таблица1[[#This Row],[Бетон]]</f>
        <v>0.9</v>
      </c>
      <c r="F224" s="104">
        <v>0.9</v>
      </c>
      <c r="G224" s="105">
        <v>0</v>
      </c>
      <c r="H224" s="106"/>
      <c r="I224" s="107"/>
      <c r="J224" s="165"/>
      <c r="N224" s="8" t="b">
        <f>OR(Таблица1[[#This Row],[Щебень]]&gt;0,Таблица1[[#This Row],[Асфальт]]&gt;0,Таблица1[[#This Row],[Бетон]]&gt;0)</f>
        <v>0</v>
      </c>
      <c r="O224" s="8">
        <v>1</v>
      </c>
      <c r="Q224" s="8">
        <v>223</v>
      </c>
      <c r="S224" s="228"/>
      <c r="T224" s="228"/>
    </row>
    <row r="225" spans="1:20" ht="46.5" x14ac:dyDescent="0.35">
      <c r="A225" s="9">
        <v>225</v>
      </c>
      <c r="B225" s="9" t="s">
        <v>429</v>
      </c>
      <c r="C225" s="9" t="s">
        <v>430</v>
      </c>
      <c r="D225" s="9" t="s">
        <v>548</v>
      </c>
      <c r="E225" s="9">
        <f>Таблица1[[#This Row],[Грунт]]+Таблица1[[#This Row],[Щебень]]+Таблица1[[#This Row],[Асфальт]]+Таблица1[[#This Row],[Бетон]]</f>
        <v>0.3</v>
      </c>
      <c r="F225" s="104"/>
      <c r="G225" s="105"/>
      <c r="H225" s="106">
        <v>0.3</v>
      </c>
      <c r="I225" s="107"/>
      <c r="J225" s="165"/>
      <c r="N225" s="8" t="b">
        <f>OR(Таблица1[[#This Row],[Щебень]]&gt;0,Таблица1[[#This Row],[Асфальт]]&gt;0,Таблица1[[#This Row],[Бетон]]&gt;0)</f>
        <v>1</v>
      </c>
      <c r="O225" s="8">
        <v>1</v>
      </c>
      <c r="Q225" s="8">
        <v>224</v>
      </c>
      <c r="S225" s="228"/>
      <c r="T225" s="228"/>
    </row>
    <row r="226" spans="1:20" ht="46.5" x14ac:dyDescent="0.35">
      <c r="A226" s="9">
        <v>226</v>
      </c>
      <c r="B226" s="9" t="s">
        <v>431</v>
      </c>
      <c r="C226" s="9" t="s">
        <v>432</v>
      </c>
      <c r="D226" s="9" t="s">
        <v>548</v>
      </c>
      <c r="E226" s="9">
        <f>Таблица1[[#This Row],[Грунт]]+Таблица1[[#This Row],[Щебень]]+Таблица1[[#This Row],[Асфальт]]+Таблица1[[#This Row],[Бетон]]</f>
        <v>0.5</v>
      </c>
      <c r="F226" s="104">
        <v>0.5</v>
      </c>
      <c r="G226" s="105"/>
      <c r="H226" s="106"/>
      <c r="I226" s="107"/>
      <c r="J226" s="165"/>
      <c r="N226" s="8" t="b">
        <f>OR(Таблица1[[#This Row],[Щебень]]&gt;0,Таблица1[[#This Row],[Асфальт]]&gt;0,Таблица1[[#This Row],[Бетон]]&gt;0)</f>
        <v>0</v>
      </c>
      <c r="Q226" s="8">
        <v>225</v>
      </c>
      <c r="S226" s="228"/>
      <c r="T226" s="228"/>
    </row>
    <row r="227" spans="1:20" ht="46.5" x14ac:dyDescent="0.35">
      <c r="A227" s="9">
        <v>227</v>
      </c>
      <c r="B227" s="9" t="s">
        <v>433</v>
      </c>
      <c r="C227" s="9" t="s">
        <v>434</v>
      </c>
      <c r="D227" s="9" t="s">
        <v>549</v>
      </c>
      <c r="E227" s="9">
        <f>Таблица1[[#This Row],[Грунт]]+Таблица1[[#This Row],[Щебень]]+Таблица1[[#This Row],[Асфальт]]+Таблица1[[#This Row],[Бетон]]</f>
        <v>6.5</v>
      </c>
      <c r="F227" s="104"/>
      <c r="G227" s="105"/>
      <c r="H227" s="106">
        <v>6.5</v>
      </c>
      <c r="I227" s="107"/>
      <c r="J227" s="165"/>
      <c r="K227" s="10" t="s">
        <v>557</v>
      </c>
      <c r="N227" s="8" t="b">
        <f>OR(Таблица1[[#This Row],[Щебень]]&gt;0,Таблица1[[#This Row],[Асфальт]]&gt;0,Таблица1[[#This Row],[Бетон]]&gt;0)</f>
        <v>1</v>
      </c>
      <c r="O227" s="8">
        <v>1</v>
      </c>
      <c r="Q227" s="8">
        <v>226</v>
      </c>
      <c r="S227" s="228"/>
      <c r="T227" s="228"/>
    </row>
    <row r="228" spans="1:20" ht="46.5" x14ac:dyDescent="0.35">
      <c r="A228" s="9">
        <v>228</v>
      </c>
      <c r="B228" s="9" t="s">
        <v>435</v>
      </c>
      <c r="C228" s="9" t="s">
        <v>436</v>
      </c>
      <c r="D228" s="9" t="s">
        <v>549</v>
      </c>
      <c r="E228" s="9">
        <f>Таблица1[[#This Row],[Грунт]]+Таблица1[[#This Row],[Щебень]]+Таблица1[[#This Row],[Асфальт]]+Таблица1[[#This Row],[Бетон]]</f>
        <v>2</v>
      </c>
      <c r="F228" s="104">
        <v>2</v>
      </c>
      <c r="G228" s="105"/>
      <c r="H228" s="106"/>
      <c r="I228" s="107"/>
      <c r="J228" s="165"/>
      <c r="N228" s="8" t="b">
        <f>OR(Таблица1[[#This Row],[Щебень]]&gt;0,Таблица1[[#This Row],[Асфальт]]&gt;0,Таблица1[[#This Row],[Бетон]]&gt;0)</f>
        <v>0</v>
      </c>
      <c r="Q228" s="8">
        <v>227</v>
      </c>
      <c r="S228" s="228"/>
      <c r="T228" s="228"/>
    </row>
    <row r="229" spans="1:20" ht="46.5" x14ac:dyDescent="0.35">
      <c r="A229" s="9">
        <v>229</v>
      </c>
      <c r="B229" s="9" t="s">
        <v>437</v>
      </c>
      <c r="C229" s="9" t="s">
        <v>438</v>
      </c>
      <c r="D229" s="9" t="s">
        <v>549</v>
      </c>
      <c r="E229" s="9">
        <f>Таблица1[[#This Row],[Грунт]]+Таблица1[[#This Row],[Щебень]]+Таблица1[[#This Row],[Асфальт]]+Таблица1[[#This Row],[Бетон]]</f>
        <v>1</v>
      </c>
      <c r="F229" s="104">
        <v>1</v>
      </c>
      <c r="G229" s="105"/>
      <c r="H229" s="106"/>
      <c r="I229" s="107"/>
      <c r="J229" s="165"/>
      <c r="N229" s="8" t="b">
        <f>OR(Таблица1[[#This Row],[Щебень]]&gt;0,Таблица1[[#This Row],[Асфальт]]&gt;0,Таблица1[[#This Row],[Бетон]]&gt;0)</f>
        <v>0</v>
      </c>
      <c r="Q229" s="8">
        <v>228</v>
      </c>
      <c r="S229" s="228"/>
      <c r="T229" s="228"/>
    </row>
    <row r="230" spans="1:20" ht="46.5" x14ac:dyDescent="0.35">
      <c r="A230" s="9">
        <v>230</v>
      </c>
      <c r="B230" s="9" t="s">
        <v>439</v>
      </c>
      <c r="C230" s="9" t="s">
        <v>440</v>
      </c>
      <c r="D230" s="9" t="s">
        <v>549</v>
      </c>
      <c r="E230" s="9">
        <f>Таблица1[[#This Row],[Грунт]]+Таблица1[[#This Row],[Щебень]]+Таблица1[[#This Row],[Асфальт]]+Таблица1[[#This Row],[Бетон]]</f>
        <v>1</v>
      </c>
      <c r="F230" s="104">
        <v>1</v>
      </c>
      <c r="G230" s="105"/>
      <c r="H230" s="106"/>
      <c r="I230" s="107"/>
      <c r="J230" s="165"/>
      <c r="N230" s="8" t="b">
        <f>OR(Таблица1[[#This Row],[Щебень]]&gt;0,Таблица1[[#This Row],[Асфальт]]&gt;0,Таблица1[[#This Row],[Бетон]]&gt;0)</f>
        <v>0</v>
      </c>
      <c r="Q230" s="8">
        <v>229</v>
      </c>
      <c r="S230" s="228"/>
      <c r="T230" s="228"/>
    </row>
    <row r="231" spans="1:20" ht="46.5" x14ac:dyDescent="0.35">
      <c r="A231" s="9">
        <v>231</v>
      </c>
      <c r="B231" s="9" t="s">
        <v>441</v>
      </c>
      <c r="C231" s="9" t="s">
        <v>442</v>
      </c>
      <c r="D231" s="9" t="s">
        <v>549</v>
      </c>
      <c r="E231" s="9">
        <f>Таблица1[[#This Row],[Грунт]]+Таблица1[[#This Row],[Щебень]]+Таблица1[[#This Row],[Асфальт]]+Таблица1[[#This Row],[Бетон]]</f>
        <v>0.6</v>
      </c>
      <c r="F231" s="104">
        <v>0.6</v>
      </c>
      <c r="G231" s="105"/>
      <c r="H231" s="106"/>
      <c r="I231" s="107"/>
      <c r="J231" s="165"/>
      <c r="N231" s="8" t="b">
        <f>OR(Таблица1[[#This Row],[Щебень]]&gt;0,Таблица1[[#This Row],[Асфальт]]&gt;0,Таблица1[[#This Row],[Бетон]]&gt;0)</f>
        <v>0</v>
      </c>
      <c r="Q231" s="8">
        <v>230</v>
      </c>
      <c r="S231" s="228"/>
      <c r="T231" s="228"/>
    </row>
    <row r="232" spans="1:20" ht="46.5" x14ac:dyDescent="0.35">
      <c r="A232" s="9">
        <v>232</v>
      </c>
      <c r="B232" s="9" t="s">
        <v>443</v>
      </c>
      <c r="C232" s="9" t="s">
        <v>444</v>
      </c>
      <c r="D232" s="9" t="s">
        <v>549</v>
      </c>
      <c r="E232" s="9">
        <f>Таблица1[[#This Row],[Грунт]]+Таблица1[[#This Row],[Щебень]]+Таблица1[[#This Row],[Асфальт]]+Таблица1[[#This Row],[Бетон]]</f>
        <v>1</v>
      </c>
      <c r="F232" s="104">
        <v>1</v>
      </c>
      <c r="G232" s="105"/>
      <c r="H232" s="106"/>
      <c r="I232" s="107"/>
      <c r="J232" s="165"/>
      <c r="N232" s="8" t="b">
        <f>OR(Таблица1[[#This Row],[Щебень]]&gt;0,Таблица1[[#This Row],[Асфальт]]&gt;0,Таблица1[[#This Row],[Бетон]]&gt;0)</f>
        <v>0</v>
      </c>
      <c r="Q232" s="8">
        <v>231</v>
      </c>
      <c r="S232" s="228"/>
      <c r="T232" s="228"/>
    </row>
    <row r="233" spans="1:20" ht="46.5" x14ac:dyDescent="0.35">
      <c r="A233" s="9">
        <v>233</v>
      </c>
      <c r="B233" s="9" t="s">
        <v>445</v>
      </c>
      <c r="C233" s="9" t="s">
        <v>446</v>
      </c>
      <c r="D233" s="9" t="s">
        <v>549</v>
      </c>
      <c r="E233" s="9">
        <f>Таблица1[[#This Row],[Грунт]]+Таблица1[[#This Row],[Щебень]]+Таблица1[[#This Row],[Асфальт]]+Таблица1[[#This Row],[Бетон]]</f>
        <v>0.5</v>
      </c>
      <c r="F233" s="104">
        <v>0.5</v>
      </c>
      <c r="G233" s="105"/>
      <c r="H233" s="106"/>
      <c r="I233" s="107"/>
      <c r="J233" s="165"/>
      <c r="N233" s="8" t="b">
        <f>OR(Таблица1[[#This Row],[Щебень]]&gt;0,Таблица1[[#This Row],[Асфальт]]&gt;0,Таблица1[[#This Row],[Бетон]]&gt;0)</f>
        <v>0</v>
      </c>
      <c r="Q233" s="8">
        <v>232</v>
      </c>
      <c r="S233" s="228"/>
      <c r="T233" s="228"/>
    </row>
    <row r="234" spans="1:20" ht="46.5" x14ac:dyDescent="0.35">
      <c r="A234" s="9">
        <v>234</v>
      </c>
      <c r="B234" s="9" t="s">
        <v>447</v>
      </c>
      <c r="C234" s="9" t="s">
        <v>448</v>
      </c>
      <c r="D234" s="9" t="s">
        <v>549</v>
      </c>
      <c r="E234" s="9">
        <f>Таблица1[[#This Row],[Грунт]]+Таблица1[[#This Row],[Щебень]]+Таблица1[[#This Row],[Асфальт]]+Таблица1[[#This Row],[Бетон]]</f>
        <v>3</v>
      </c>
      <c r="F234" s="104">
        <v>1.7</v>
      </c>
      <c r="G234" s="105">
        <v>0.3</v>
      </c>
      <c r="H234" s="106">
        <v>1</v>
      </c>
      <c r="I234" s="107"/>
      <c r="J234" s="165"/>
      <c r="N234" s="8" t="b">
        <f>OR(Таблица1[[#This Row],[Щебень]]&gt;0,Таблица1[[#This Row],[Асфальт]]&gt;0,Таблица1[[#This Row],[Бетон]]&gt;0)</f>
        <v>1</v>
      </c>
      <c r="O234" s="8">
        <v>1</v>
      </c>
      <c r="Q234" s="8">
        <v>233</v>
      </c>
      <c r="S234" s="228"/>
      <c r="T234" s="228"/>
    </row>
    <row r="235" spans="1:20" ht="46.5" x14ac:dyDescent="0.35">
      <c r="A235" s="9">
        <v>235</v>
      </c>
      <c r="B235" s="9" t="s">
        <v>449</v>
      </c>
      <c r="C235" s="9" t="s">
        <v>450</v>
      </c>
      <c r="D235" s="9" t="s">
        <v>550</v>
      </c>
      <c r="E235" s="9">
        <f>Таблица1[[#This Row],[Грунт]]+Таблица1[[#This Row],[Щебень]]+Таблица1[[#This Row],[Асфальт]]+Таблица1[[#This Row],[Бетон]]</f>
        <v>7.5</v>
      </c>
      <c r="F235" s="104">
        <v>6.85</v>
      </c>
      <c r="G235" s="105"/>
      <c r="H235" s="106">
        <v>0.65</v>
      </c>
      <c r="I235" s="107"/>
      <c r="J235" s="165"/>
      <c r="K235" s="10"/>
      <c r="N235" s="8" t="b">
        <f>OR(Таблица1[[#This Row],[Щебень]]&gt;0,Таблица1[[#This Row],[Асфальт]]&gt;0,Таблица1[[#This Row],[Бетон]]&gt;0)</f>
        <v>1</v>
      </c>
      <c r="Q235" s="8">
        <v>234</v>
      </c>
      <c r="S235" s="228"/>
      <c r="T235" s="228"/>
    </row>
    <row r="236" spans="1:20" ht="46.5" x14ac:dyDescent="0.35">
      <c r="A236" s="9">
        <v>236</v>
      </c>
      <c r="B236" s="9" t="s">
        <v>451</v>
      </c>
      <c r="C236" s="9" t="s">
        <v>452</v>
      </c>
      <c r="D236" s="9" t="s">
        <v>550</v>
      </c>
      <c r="E236" s="9">
        <f>Таблица1[[#This Row],[Грунт]]+Таблица1[[#This Row],[Щебень]]+Таблица1[[#This Row],[Асфальт]]+Таблица1[[#This Row],[Бетон]]</f>
        <v>1.65</v>
      </c>
      <c r="F236" s="104">
        <v>1.65</v>
      </c>
      <c r="G236" s="105"/>
      <c r="H236" s="106"/>
      <c r="I236" s="107"/>
      <c r="J236" s="165"/>
      <c r="N236" s="8" t="b">
        <f>OR(Таблица1[[#This Row],[Щебень]]&gt;0,Таблица1[[#This Row],[Асфальт]]&gt;0,Таблица1[[#This Row],[Бетон]]&gt;0)</f>
        <v>0</v>
      </c>
      <c r="Q236" s="8">
        <v>235</v>
      </c>
      <c r="S236" s="228"/>
      <c r="T236" s="228"/>
    </row>
    <row r="237" spans="1:20" ht="46.5" x14ac:dyDescent="0.35">
      <c r="A237" s="9">
        <v>237</v>
      </c>
      <c r="B237" s="9" t="s">
        <v>453</v>
      </c>
      <c r="C237" s="9" t="s">
        <v>454</v>
      </c>
      <c r="D237" s="9" t="s">
        <v>550</v>
      </c>
      <c r="E237" s="9">
        <f>Таблица1[[#This Row],[Грунт]]+Таблица1[[#This Row],[Щебень]]+Таблица1[[#This Row],[Асфальт]]+Таблица1[[#This Row],[Бетон]]</f>
        <v>1.7</v>
      </c>
      <c r="F237" s="104"/>
      <c r="G237" s="105">
        <v>1.7</v>
      </c>
      <c r="H237" s="106"/>
      <c r="I237" s="107"/>
      <c r="J237" s="165"/>
      <c r="K237" s="10" t="s">
        <v>557</v>
      </c>
      <c r="N237" s="8" t="b">
        <f>OR(Таблица1[[#This Row],[Щебень]]&gt;0,Таблица1[[#This Row],[Асфальт]]&gt;0,Таблица1[[#This Row],[Бетон]]&gt;0)</f>
        <v>1</v>
      </c>
      <c r="O237" s="8">
        <v>1</v>
      </c>
      <c r="Q237" s="8">
        <v>236</v>
      </c>
      <c r="S237" s="228"/>
      <c r="T237" s="228"/>
    </row>
    <row r="238" spans="1:20" ht="46.5" x14ac:dyDescent="0.35">
      <c r="A238" s="9">
        <v>238</v>
      </c>
      <c r="B238" s="9" t="s">
        <v>455</v>
      </c>
      <c r="C238" s="9" t="s">
        <v>456</v>
      </c>
      <c r="D238" s="9" t="s">
        <v>550</v>
      </c>
      <c r="E238" s="9">
        <f>Таблица1[[#This Row],[Грунт]]+Таблица1[[#This Row],[Щебень]]+Таблица1[[#This Row],[Асфальт]]+Таблица1[[#This Row],[Бетон]]</f>
        <v>1.25</v>
      </c>
      <c r="F238" s="104">
        <v>1.25</v>
      </c>
      <c r="G238" s="105"/>
      <c r="H238" s="106"/>
      <c r="I238" s="107"/>
      <c r="J238" s="165"/>
      <c r="N238" s="8" t="b">
        <f>OR(Таблица1[[#This Row],[Щебень]]&gt;0,Таблица1[[#This Row],[Асфальт]]&gt;0,Таблица1[[#This Row],[Бетон]]&gt;0)</f>
        <v>0</v>
      </c>
      <c r="Q238" s="8">
        <v>237</v>
      </c>
      <c r="S238" s="228"/>
      <c r="T238" s="228"/>
    </row>
    <row r="239" spans="1:20" ht="46.5" x14ac:dyDescent="0.35">
      <c r="A239" s="9">
        <v>239</v>
      </c>
      <c r="B239" s="9" t="s">
        <v>457</v>
      </c>
      <c r="C239" s="9" t="s">
        <v>458</v>
      </c>
      <c r="D239" s="9" t="s">
        <v>551</v>
      </c>
      <c r="E239" s="9">
        <f>Таблица1[[#This Row],[Грунт]]+Таблица1[[#This Row],[Щебень]]+Таблица1[[#This Row],[Асфальт]]+Таблица1[[#This Row],[Бетон]]</f>
        <v>5.0999999999999996</v>
      </c>
      <c r="F239" s="104">
        <v>0.4</v>
      </c>
      <c r="G239" s="105">
        <v>3</v>
      </c>
      <c r="H239" s="106">
        <v>1.7</v>
      </c>
      <c r="I239" s="107"/>
      <c r="J239" s="165"/>
      <c r="K239" s="10" t="s">
        <v>557</v>
      </c>
      <c r="N239" s="8" t="b">
        <f>OR(Таблица1[[#This Row],[Щебень]]&gt;0,Таблица1[[#This Row],[Асфальт]]&gt;0,Таблица1[[#This Row],[Бетон]]&gt;0)</f>
        <v>1</v>
      </c>
      <c r="O239" s="8">
        <v>1</v>
      </c>
      <c r="Q239" s="8">
        <v>238</v>
      </c>
      <c r="S239" s="228"/>
      <c r="T239" s="228"/>
    </row>
    <row r="240" spans="1:20" ht="46.5" x14ac:dyDescent="0.35">
      <c r="A240" s="9">
        <v>240</v>
      </c>
      <c r="B240" s="9" t="s">
        <v>459</v>
      </c>
      <c r="C240" s="9" t="s">
        <v>460</v>
      </c>
      <c r="D240" s="9" t="s">
        <v>551</v>
      </c>
      <c r="E240" s="9">
        <f>Таблица1[[#This Row],[Грунт]]+Таблица1[[#This Row],[Щебень]]+Таблица1[[#This Row],[Асфальт]]+Таблица1[[#This Row],[Бетон]]</f>
        <v>2.5</v>
      </c>
      <c r="F240" s="104">
        <v>1.8</v>
      </c>
      <c r="G240" s="105">
        <v>0.7</v>
      </c>
      <c r="H240" s="106"/>
      <c r="I240" s="107"/>
      <c r="J240" s="165"/>
      <c r="N240" s="8" t="b">
        <f>OR(Таблица1[[#This Row],[Щебень]]&gt;0,Таблица1[[#This Row],[Асфальт]]&gt;0,Таблица1[[#This Row],[Бетон]]&gt;0)</f>
        <v>1</v>
      </c>
      <c r="Q240" s="8">
        <v>239</v>
      </c>
      <c r="S240" s="228"/>
      <c r="T240" s="228"/>
    </row>
    <row r="241" spans="1:20" ht="46.5" x14ac:dyDescent="0.35">
      <c r="A241" s="9">
        <v>241</v>
      </c>
      <c r="B241" s="9" t="s">
        <v>461</v>
      </c>
      <c r="C241" s="9" t="s">
        <v>462</v>
      </c>
      <c r="D241" s="9" t="s">
        <v>551</v>
      </c>
      <c r="E241" s="9">
        <f>Таблица1[[#This Row],[Грунт]]+Таблица1[[#This Row],[Щебень]]+Таблица1[[#This Row],[Асфальт]]+Таблица1[[#This Row],[Бетон]]</f>
        <v>0.7</v>
      </c>
      <c r="F241" s="104">
        <v>0.7</v>
      </c>
      <c r="G241" s="105"/>
      <c r="H241" s="106"/>
      <c r="I241" s="107"/>
      <c r="J241" s="165"/>
      <c r="N241" s="8" t="b">
        <f>OR(Таблица1[[#This Row],[Щебень]]&gt;0,Таблица1[[#This Row],[Асфальт]]&gt;0,Таблица1[[#This Row],[Бетон]]&gt;0)</f>
        <v>0</v>
      </c>
      <c r="Q241" s="8">
        <v>240</v>
      </c>
      <c r="S241" s="228"/>
      <c r="T241" s="228"/>
    </row>
    <row r="242" spans="1:20" ht="46.5" x14ac:dyDescent="0.35">
      <c r="A242" s="9">
        <v>242</v>
      </c>
      <c r="B242" s="9" t="s">
        <v>463</v>
      </c>
      <c r="C242" s="9" t="s">
        <v>464</v>
      </c>
      <c r="D242" s="9" t="s">
        <v>551</v>
      </c>
      <c r="E242" s="9">
        <f>Таблица1[[#This Row],[Грунт]]+Таблица1[[#This Row],[Щебень]]+Таблица1[[#This Row],[Асфальт]]+Таблица1[[#This Row],[Бетон]]</f>
        <v>1.7</v>
      </c>
      <c r="F242" s="104">
        <v>1.7</v>
      </c>
      <c r="G242" s="105"/>
      <c r="H242" s="106"/>
      <c r="I242" s="107"/>
      <c r="J242" s="165"/>
      <c r="N242" s="8" t="b">
        <f>OR(Таблица1[[#This Row],[Щебень]]&gt;0,Таблица1[[#This Row],[Асфальт]]&gt;0,Таблица1[[#This Row],[Бетон]]&gt;0)</f>
        <v>0</v>
      </c>
      <c r="Q242" s="8">
        <v>241</v>
      </c>
      <c r="S242" s="228"/>
      <c r="T242" s="228"/>
    </row>
    <row r="243" spans="1:20" ht="46.5" x14ac:dyDescent="0.35">
      <c r="A243" s="9">
        <v>243</v>
      </c>
      <c r="B243" s="9" t="s">
        <v>465</v>
      </c>
      <c r="C243" s="9" t="s">
        <v>466</v>
      </c>
      <c r="D243" s="9" t="s">
        <v>551</v>
      </c>
      <c r="E243" s="9">
        <f>Таблица1[[#This Row],[Грунт]]+Таблица1[[#This Row],[Щебень]]+Таблица1[[#This Row],[Асфальт]]+Таблица1[[#This Row],[Бетон]]</f>
        <v>2.5</v>
      </c>
      <c r="F243" s="104"/>
      <c r="G243" s="105">
        <v>2.5</v>
      </c>
      <c r="H243" s="106"/>
      <c r="I243" s="107"/>
      <c r="J243" s="165"/>
      <c r="K243" s="10" t="s">
        <v>557</v>
      </c>
      <c r="N243" s="8" t="b">
        <f>OR(Таблица1[[#This Row],[Щебень]]&gt;0,Таблица1[[#This Row],[Асфальт]]&gt;0,Таблица1[[#This Row],[Бетон]]&gt;0)</f>
        <v>1</v>
      </c>
      <c r="O243" s="8">
        <v>1</v>
      </c>
      <c r="Q243" s="8">
        <v>242</v>
      </c>
      <c r="S243" s="228"/>
      <c r="T243" s="228"/>
    </row>
    <row r="244" spans="1:20" ht="46.5" x14ac:dyDescent="0.35">
      <c r="A244" s="9">
        <v>244</v>
      </c>
      <c r="B244" s="9" t="s">
        <v>467</v>
      </c>
      <c r="C244" s="9" t="s">
        <v>468</v>
      </c>
      <c r="D244" s="9" t="s">
        <v>551</v>
      </c>
      <c r="E244" s="9">
        <f>Таблица1[[#This Row],[Грунт]]+Таблица1[[#This Row],[Щебень]]+Таблица1[[#This Row],[Асфальт]]+Таблица1[[#This Row],[Бетон]]</f>
        <v>0.5</v>
      </c>
      <c r="F244" s="104">
        <v>0.5</v>
      </c>
      <c r="G244" s="105"/>
      <c r="H244" s="106"/>
      <c r="I244" s="107"/>
      <c r="J244" s="165"/>
      <c r="N244" s="8" t="b">
        <f>OR(Таблица1[[#This Row],[Щебень]]&gt;0,Таблица1[[#This Row],[Асфальт]]&gt;0,Таблица1[[#This Row],[Бетон]]&gt;0)</f>
        <v>0</v>
      </c>
      <c r="Q244" s="8">
        <v>243</v>
      </c>
      <c r="S244" s="228"/>
      <c r="T244" s="228"/>
    </row>
    <row r="245" spans="1:20" ht="46.5" x14ac:dyDescent="0.35">
      <c r="A245" s="9">
        <v>245</v>
      </c>
      <c r="B245" s="9" t="s">
        <v>469</v>
      </c>
      <c r="C245" s="9" t="s">
        <v>470</v>
      </c>
      <c r="D245" s="9" t="s">
        <v>551</v>
      </c>
      <c r="E245" s="9">
        <f>Таблица1[[#This Row],[Грунт]]+Таблица1[[#This Row],[Щебень]]+Таблица1[[#This Row],[Асфальт]]+Таблица1[[#This Row],[Бетон]]</f>
        <v>0.6</v>
      </c>
      <c r="F245" s="104">
        <v>0.6</v>
      </c>
      <c r="G245" s="105"/>
      <c r="H245" s="106"/>
      <c r="I245" s="107"/>
      <c r="J245" s="165"/>
      <c r="N245" s="8" t="b">
        <f>OR(Таблица1[[#This Row],[Щебень]]&gt;0,Таблица1[[#This Row],[Асфальт]]&gt;0,Таблица1[[#This Row],[Бетон]]&gt;0)</f>
        <v>0</v>
      </c>
      <c r="Q245" s="8">
        <v>244</v>
      </c>
      <c r="S245" s="228"/>
      <c r="T245" s="228"/>
    </row>
    <row r="246" spans="1:20" ht="46.5" x14ac:dyDescent="0.35">
      <c r="A246" s="9">
        <v>246</v>
      </c>
      <c r="B246" s="9" t="s">
        <v>471</v>
      </c>
      <c r="C246" s="9" t="s">
        <v>472</v>
      </c>
      <c r="D246" s="9" t="s">
        <v>551</v>
      </c>
      <c r="E246" s="9">
        <f>Таблица1[[#This Row],[Грунт]]+Таблица1[[#This Row],[Щебень]]+Таблица1[[#This Row],[Асфальт]]+Таблица1[[#This Row],[Бетон]]</f>
        <v>0.82</v>
      </c>
      <c r="F246" s="104"/>
      <c r="G246" s="105"/>
      <c r="H246" s="106">
        <v>0.82</v>
      </c>
      <c r="I246" s="107"/>
      <c r="J246" s="165"/>
      <c r="N246" s="8" t="b">
        <f>OR(Таблица1[[#This Row],[Щебень]]&gt;0,Таблица1[[#This Row],[Асфальт]]&gt;0,Таблица1[[#This Row],[Бетон]]&gt;0)</f>
        <v>1</v>
      </c>
      <c r="O246" s="8">
        <v>1</v>
      </c>
      <c r="Q246" s="8">
        <v>245</v>
      </c>
      <c r="S246" s="228"/>
      <c r="T246" s="228"/>
    </row>
    <row r="247" spans="1:20" ht="46.5" x14ac:dyDescent="0.35">
      <c r="A247" s="9">
        <v>247</v>
      </c>
      <c r="B247" s="9" t="s">
        <v>473</v>
      </c>
      <c r="C247" s="9" t="s">
        <v>474</v>
      </c>
      <c r="D247" s="9" t="s">
        <v>552</v>
      </c>
      <c r="E247" s="9">
        <f>Таблица1[[#This Row],[Грунт]]+Таблица1[[#This Row],[Щебень]]+Таблица1[[#This Row],[Асфальт]]+Таблица1[[#This Row],[Бетон]]</f>
        <v>1.3</v>
      </c>
      <c r="F247" s="104"/>
      <c r="G247" s="105"/>
      <c r="H247" s="106">
        <v>1.3</v>
      </c>
      <c r="I247" s="107"/>
      <c r="J247" s="165"/>
      <c r="N247" s="8" t="b">
        <f>OR(Таблица1[[#This Row],[Щебень]]&gt;0,Таблица1[[#This Row],[Асфальт]]&gt;0,Таблица1[[#This Row],[Бетон]]&gt;0)</f>
        <v>1</v>
      </c>
      <c r="O247" s="8">
        <v>1</v>
      </c>
      <c r="Q247" s="8">
        <v>246</v>
      </c>
      <c r="S247" s="228"/>
      <c r="T247" s="228"/>
    </row>
    <row r="248" spans="1:20" ht="46.5" x14ac:dyDescent="0.35">
      <c r="A248" s="9">
        <v>248</v>
      </c>
      <c r="B248" s="9" t="s">
        <v>475</v>
      </c>
      <c r="C248" s="9" t="s">
        <v>476</v>
      </c>
      <c r="D248" s="9" t="s">
        <v>552</v>
      </c>
      <c r="E248" s="9">
        <f>Таблица1[[#This Row],[Грунт]]+Таблица1[[#This Row],[Щебень]]+Таблица1[[#This Row],[Асфальт]]+Таблица1[[#This Row],[Бетон]]</f>
        <v>0.8</v>
      </c>
      <c r="F248" s="104"/>
      <c r="G248" s="105"/>
      <c r="H248" s="106">
        <v>0.8</v>
      </c>
      <c r="I248" s="107"/>
      <c r="J248" s="165"/>
      <c r="N248" s="8" t="b">
        <f>OR(Таблица1[[#This Row],[Щебень]]&gt;0,Таблица1[[#This Row],[Асфальт]]&gt;0,Таблица1[[#This Row],[Бетон]]&gt;0)</f>
        <v>1</v>
      </c>
      <c r="O248" s="8">
        <v>1</v>
      </c>
      <c r="Q248" s="8">
        <v>247</v>
      </c>
      <c r="S248" s="228"/>
      <c r="T248" s="228"/>
    </row>
    <row r="249" spans="1:20" ht="46.5" x14ac:dyDescent="0.35">
      <c r="A249" s="9">
        <v>249</v>
      </c>
      <c r="B249" s="9" t="s">
        <v>477</v>
      </c>
      <c r="C249" s="9" t="s">
        <v>478</v>
      </c>
      <c r="D249" s="9" t="s">
        <v>552</v>
      </c>
      <c r="E249" s="9">
        <f>Таблица1[[#This Row],[Грунт]]+Таблица1[[#This Row],[Щебень]]+Таблица1[[#This Row],[Асфальт]]+Таблица1[[#This Row],[Бетон]]</f>
        <v>1.6</v>
      </c>
      <c r="F249" s="104"/>
      <c r="G249" s="105"/>
      <c r="H249" s="106">
        <v>1.6</v>
      </c>
      <c r="I249" s="107"/>
      <c r="J249" s="165"/>
      <c r="K249" s="10" t="s">
        <v>557</v>
      </c>
      <c r="N249" s="8" t="b">
        <f>OR(Таблица1[[#This Row],[Щебень]]&gt;0,Таблица1[[#This Row],[Асфальт]]&gt;0,Таблица1[[#This Row],[Бетон]]&gt;0)</f>
        <v>1</v>
      </c>
      <c r="O249" s="8">
        <v>1</v>
      </c>
      <c r="Q249" s="8">
        <v>248</v>
      </c>
      <c r="S249" s="228"/>
      <c r="T249" s="228"/>
    </row>
    <row r="250" spans="1:20" ht="46.5" x14ac:dyDescent="0.35">
      <c r="A250" s="9">
        <v>250</v>
      </c>
      <c r="B250" s="9" t="s">
        <v>479</v>
      </c>
      <c r="C250" s="9" t="s">
        <v>480</v>
      </c>
      <c r="D250" s="9" t="s">
        <v>552</v>
      </c>
      <c r="E250" s="9">
        <f>Таблица1[[#This Row],[Грунт]]+Таблица1[[#This Row],[Щебень]]+Таблица1[[#This Row],[Асфальт]]+Таблица1[[#This Row],[Бетон]]</f>
        <v>1.4</v>
      </c>
      <c r="F250" s="104"/>
      <c r="G250" s="105"/>
      <c r="H250" s="106">
        <v>1.4</v>
      </c>
      <c r="I250" s="107"/>
      <c r="J250" s="165"/>
      <c r="N250" s="8" t="b">
        <f>OR(Таблица1[[#This Row],[Щебень]]&gt;0,Таблица1[[#This Row],[Асфальт]]&gt;0,Таблица1[[#This Row],[Бетон]]&gt;0)</f>
        <v>1</v>
      </c>
      <c r="O250" s="8">
        <v>1</v>
      </c>
      <c r="Q250" s="8">
        <v>249</v>
      </c>
      <c r="S250" s="228"/>
      <c r="T250" s="228"/>
    </row>
    <row r="251" spans="1:20" ht="46.5" x14ac:dyDescent="0.35">
      <c r="A251" s="9">
        <v>251</v>
      </c>
      <c r="B251" s="9" t="s">
        <v>481</v>
      </c>
      <c r="C251" s="9" t="s">
        <v>482</v>
      </c>
      <c r="D251" s="9" t="s">
        <v>552</v>
      </c>
      <c r="E251" s="9">
        <f>Таблица1[[#This Row],[Грунт]]+Таблица1[[#This Row],[Щебень]]+Таблица1[[#This Row],[Асфальт]]+Таблица1[[#This Row],[Бетон]]</f>
        <v>0.3</v>
      </c>
      <c r="F251" s="104"/>
      <c r="G251" s="105"/>
      <c r="H251" s="106">
        <v>0.3</v>
      </c>
      <c r="I251" s="107"/>
      <c r="J251" s="165"/>
      <c r="N251" s="8" t="b">
        <f>OR(Таблица1[[#This Row],[Щебень]]&gt;0,Таблица1[[#This Row],[Асфальт]]&gt;0,Таблица1[[#This Row],[Бетон]]&gt;0)</f>
        <v>1</v>
      </c>
      <c r="O251" s="8">
        <v>1</v>
      </c>
      <c r="Q251" s="8">
        <v>250</v>
      </c>
      <c r="S251" s="228"/>
      <c r="T251" s="228"/>
    </row>
    <row r="252" spans="1:20" ht="46.5" x14ac:dyDescent="0.35">
      <c r="A252" s="9">
        <v>252</v>
      </c>
      <c r="B252" s="9" t="s">
        <v>483</v>
      </c>
      <c r="C252" s="9" t="s">
        <v>484</v>
      </c>
      <c r="D252" s="9" t="s">
        <v>552</v>
      </c>
      <c r="E252" s="9">
        <f>Таблица1[[#This Row],[Грунт]]+Таблица1[[#This Row],[Щебень]]+Таблица1[[#This Row],[Асфальт]]+Таблица1[[#This Row],[Бетон]]</f>
        <v>1.9</v>
      </c>
      <c r="F252" s="104">
        <v>0</v>
      </c>
      <c r="G252" s="105">
        <v>0</v>
      </c>
      <c r="H252" s="106">
        <v>1.9</v>
      </c>
      <c r="I252" s="107"/>
      <c r="J252" s="165"/>
      <c r="N252" s="8" t="b">
        <f>OR(Таблица1[[#This Row],[Щебень]]&gt;0,Таблица1[[#This Row],[Асфальт]]&gt;0,Таблица1[[#This Row],[Бетон]]&gt;0)</f>
        <v>1</v>
      </c>
      <c r="O252" s="8">
        <v>1</v>
      </c>
      <c r="Q252" s="8">
        <v>251</v>
      </c>
      <c r="S252" s="228"/>
      <c r="T252" s="228"/>
    </row>
    <row r="253" spans="1:20" ht="46.5" x14ac:dyDescent="0.35">
      <c r="A253" s="9">
        <v>253</v>
      </c>
      <c r="B253" s="9" t="s">
        <v>485</v>
      </c>
      <c r="C253" s="9" t="s">
        <v>486</v>
      </c>
      <c r="D253" s="9" t="s">
        <v>552</v>
      </c>
      <c r="E253" s="9">
        <f>Таблица1[[#This Row],[Грунт]]+Таблица1[[#This Row],[Щебень]]+Таблица1[[#This Row],[Асфальт]]+Таблица1[[#This Row],[Бетон]]</f>
        <v>0.9</v>
      </c>
      <c r="F253" s="104"/>
      <c r="G253" s="105">
        <v>0</v>
      </c>
      <c r="H253" s="106">
        <v>0.9</v>
      </c>
      <c r="I253" s="107"/>
      <c r="J253" s="165"/>
      <c r="N253" s="8" t="b">
        <f>OR(Таблица1[[#This Row],[Щебень]]&gt;0,Таблица1[[#This Row],[Асфальт]]&gt;0,Таблица1[[#This Row],[Бетон]]&gt;0)</f>
        <v>1</v>
      </c>
      <c r="O253" s="8">
        <v>1</v>
      </c>
      <c r="Q253" s="8">
        <v>252</v>
      </c>
      <c r="S253" s="228"/>
      <c r="T253" s="228"/>
    </row>
    <row r="254" spans="1:20" ht="46.5" x14ac:dyDescent="0.35">
      <c r="A254" s="9">
        <v>254</v>
      </c>
      <c r="B254" s="9" t="s">
        <v>487</v>
      </c>
      <c r="C254" s="9" t="s">
        <v>488</v>
      </c>
      <c r="D254" s="9" t="s">
        <v>552</v>
      </c>
      <c r="E254" s="9">
        <f>Таблица1[[#This Row],[Грунт]]+Таблица1[[#This Row],[Щебень]]+Таблица1[[#This Row],[Асфальт]]+Таблица1[[#This Row],[Бетон]]</f>
        <v>2</v>
      </c>
      <c r="F254" s="104"/>
      <c r="G254" s="105"/>
      <c r="H254" s="106">
        <v>2</v>
      </c>
      <c r="I254" s="107"/>
      <c r="J254" s="165"/>
      <c r="K254" s="10" t="s">
        <v>557</v>
      </c>
      <c r="N254" s="8" t="b">
        <f>OR(Таблица1[[#This Row],[Щебень]]&gt;0,Таблица1[[#This Row],[Асфальт]]&gt;0,Таблица1[[#This Row],[Бетон]]&gt;0)</f>
        <v>1</v>
      </c>
      <c r="O254" s="8">
        <v>1</v>
      </c>
      <c r="Q254" s="8">
        <v>253</v>
      </c>
      <c r="S254" s="228"/>
      <c r="T254" s="228"/>
    </row>
    <row r="255" spans="1:20" ht="46.5" x14ac:dyDescent="0.35">
      <c r="A255" s="9">
        <v>255</v>
      </c>
      <c r="B255" s="9" t="s">
        <v>489</v>
      </c>
      <c r="C255" s="9" t="s">
        <v>490</v>
      </c>
      <c r="D255" s="9" t="s">
        <v>552</v>
      </c>
      <c r="E255" s="9">
        <f>Таблица1[[#This Row],[Грунт]]+Таблица1[[#This Row],[Щебень]]+Таблица1[[#This Row],[Асфальт]]+Таблица1[[#This Row],[Бетон]]</f>
        <v>0.6</v>
      </c>
      <c r="F255" s="104"/>
      <c r="G255" s="105">
        <v>0</v>
      </c>
      <c r="H255" s="106">
        <v>0.6</v>
      </c>
      <c r="I255" s="107"/>
      <c r="J255" s="165"/>
      <c r="K255" s="8" t="s">
        <v>558</v>
      </c>
      <c r="N255" s="8" t="b">
        <f>OR(Таблица1[[#This Row],[Щебень]]&gt;0,Таблица1[[#This Row],[Асфальт]]&gt;0,Таблица1[[#This Row],[Бетон]]&gt;0)</f>
        <v>1</v>
      </c>
      <c r="O255" s="8">
        <v>1</v>
      </c>
      <c r="Q255" s="8">
        <v>254</v>
      </c>
      <c r="S255" s="228"/>
      <c r="T255" s="228"/>
    </row>
    <row r="256" spans="1:20" ht="46.5" x14ac:dyDescent="0.35">
      <c r="A256" s="9">
        <v>256</v>
      </c>
      <c r="B256" s="9" t="s">
        <v>491</v>
      </c>
      <c r="C256" s="9" t="s">
        <v>492</v>
      </c>
      <c r="D256" s="9" t="s">
        <v>552</v>
      </c>
      <c r="E256" s="9">
        <f>Таблица1[[#This Row],[Грунт]]+Таблица1[[#This Row],[Щебень]]+Таблица1[[#This Row],[Асфальт]]+Таблица1[[#This Row],[Бетон]]</f>
        <v>0.6</v>
      </c>
      <c r="F256" s="104"/>
      <c r="G256" s="105"/>
      <c r="H256" s="106">
        <v>0.6</v>
      </c>
      <c r="I256" s="107"/>
      <c r="J256" s="165"/>
      <c r="N256" s="8" t="b">
        <f>OR(Таблица1[[#This Row],[Щебень]]&gt;0,Таблица1[[#This Row],[Асфальт]]&gt;0,Таблица1[[#This Row],[Бетон]]&gt;0)</f>
        <v>1</v>
      </c>
      <c r="O256" s="8">
        <v>1</v>
      </c>
      <c r="Q256" s="8">
        <v>255</v>
      </c>
      <c r="S256" s="228"/>
      <c r="T256" s="228"/>
    </row>
    <row r="257" spans="1:20" ht="46.5" x14ac:dyDescent="0.35">
      <c r="A257" s="9">
        <v>257</v>
      </c>
      <c r="B257" s="9" t="s">
        <v>493</v>
      </c>
      <c r="C257" s="9" t="s">
        <v>494</v>
      </c>
      <c r="D257" s="9" t="s">
        <v>552</v>
      </c>
      <c r="E257" s="9">
        <f>Таблица1[[#This Row],[Грунт]]+Таблица1[[#This Row],[Щебень]]+Таблица1[[#This Row],[Асфальт]]+Таблица1[[#This Row],[Бетон]]</f>
        <v>1.2</v>
      </c>
      <c r="F257" s="104"/>
      <c r="G257" s="105"/>
      <c r="H257" s="106">
        <v>1.2</v>
      </c>
      <c r="I257" s="107"/>
      <c r="J257" s="165"/>
      <c r="N257" s="8" t="b">
        <f>OR(Таблица1[[#This Row],[Щебень]]&gt;0,Таблица1[[#This Row],[Асфальт]]&gt;0,Таблица1[[#This Row],[Бетон]]&gt;0)</f>
        <v>1</v>
      </c>
      <c r="O257" s="8">
        <v>1</v>
      </c>
      <c r="Q257" s="8">
        <v>256</v>
      </c>
      <c r="S257" s="228"/>
      <c r="T257" s="228"/>
    </row>
    <row r="258" spans="1:20" ht="46.5" x14ac:dyDescent="0.35">
      <c r="A258" s="9">
        <v>258</v>
      </c>
      <c r="B258" s="9" t="s">
        <v>495</v>
      </c>
      <c r="C258" s="9" t="s">
        <v>496</v>
      </c>
      <c r="D258" s="9" t="s">
        <v>552</v>
      </c>
      <c r="E258" s="9">
        <f>Таблица1[[#This Row],[Грунт]]+Таблица1[[#This Row],[Щебень]]+Таблица1[[#This Row],[Асфальт]]+Таблица1[[#This Row],[Бетон]]</f>
        <v>0.77</v>
      </c>
      <c r="F258" s="104"/>
      <c r="G258" s="105"/>
      <c r="H258" s="106">
        <v>0.77</v>
      </c>
      <c r="I258" s="107"/>
      <c r="J258" s="165"/>
      <c r="N258" s="8" t="b">
        <f>OR(Таблица1[[#This Row],[Щебень]]&gt;0,Таблица1[[#This Row],[Асфальт]]&gt;0,Таблица1[[#This Row],[Бетон]]&gt;0)</f>
        <v>1</v>
      </c>
      <c r="O258" s="8">
        <v>1</v>
      </c>
      <c r="Q258" s="8">
        <v>257</v>
      </c>
      <c r="S258" s="228"/>
      <c r="T258" s="228"/>
    </row>
    <row r="259" spans="1:20" ht="46.5" x14ac:dyDescent="0.35">
      <c r="A259" s="9">
        <v>259</v>
      </c>
      <c r="B259" s="9" t="s">
        <v>497</v>
      </c>
      <c r="C259" s="9" t="s">
        <v>498</v>
      </c>
      <c r="D259" s="9" t="s">
        <v>552</v>
      </c>
      <c r="E259" s="9">
        <f>Таблица1[[#This Row],[Грунт]]+Таблица1[[#This Row],[Щебень]]+Таблица1[[#This Row],[Асфальт]]+Таблица1[[#This Row],[Бетон]]</f>
        <v>0.6</v>
      </c>
      <c r="F259" s="104"/>
      <c r="G259" s="105"/>
      <c r="H259" s="106">
        <v>0.6</v>
      </c>
      <c r="I259" s="107"/>
      <c r="J259" s="165"/>
      <c r="N259" s="8" t="b">
        <f>OR(Таблица1[[#This Row],[Щебень]]&gt;0,Таблица1[[#This Row],[Асфальт]]&gt;0,Таблица1[[#This Row],[Бетон]]&gt;0)</f>
        <v>1</v>
      </c>
      <c r="O259" s="8">
        <v>1</v>
      </c>
      <c r="P259" s="8">
        <f>0.6-Таблица1[[#This Row],[Протяженность(км)]]</f>
        <v>0</v>
      </c>
      <c r="Q259" s="8">
        <v>258</v>
      </c>
      <c r="S259" s="228"/>
      <c r="T259" s="228"/>
    </row>
    <row r="260" spans="1:20" ht="46.5" x14ac:dyDescent="0.35">
      <c r="A260" s="9">
        <v>260</v>
      </c>
      <c r="B260" s="9" t="s">
        <v>499</v>
      </c>
      <c r="C260" s="9" t="s">
        <v>500</v>
      </c>
      <c r="D260" s="9" t="s">
        <v>552</v>
      </c>
      <c r="E260" s="9">
        <f>Таблица1[[#This Row],[Грунт]]+Таблица1[[#This Row],[Щебень]]+Таблица1[[#This Row],[Асфальт]]+Таблица1[[#This Row],[Бетон]]</f>
        <v>0.499</v>
      </c>
      <c r="F260" s="104"/>
      <c r="G260" s="105">
        <v>0</v>
      </c>
      <c r="H260" s="106">
        <v>0.499</v>
      </c>
      <c r="I260" s="107"/>
      <c r="J260" s="165"/>
      <c r="N260" s="8" t="b">
        <f>OR(Таблица1[[#This Row],[Щебень]]&gt;0,Таблица1[[#This Row],[Асфальт]]&gt;0,Таблица1[[#This Row],[Бетон]]&gt;0)</f>
        <v>1</v>
      </c>
      <c r="O260" s="8">
        <v>1</v>
      </c>
      <c r="Q260" s="8">
        <v>259</v>
      </c>
      <c r="S260" s="228"/>
      <c r="T260" s="228"/>
    </row>
    <row r="261" spans="1:20" ht="46.5" x14ac:dyDescent="0.35">
      <c r="A261" s="9">
        <v>261</v>
      </c>
      <c r="B261" s="9" t="s">
        <v>501</v>
      </c>
      <c r="C261" s="9" t="s">
        <v>502</v>
      </c>
      <c r="D261" s="9" t="s">
        <v>552</v>
      </c>
      <c r="E261" s="9">
        <f>Таблица1[[#This Row],[Грунт]]+Таблица1[[#This Row],[Щебень]]+Таблица1[[#This Row],[Асфальт]]+Таблица1[[#This Row],[Бетон]]</f>
        <v>0.66700000000000004</v>
      </c>
      <c r="F261" s="104"/>
      <c r="G261" s="105">
        <v>0</v>
      </c>
      <c r="H261" s="106">
        <v>0.66700000000000004</v>
      </c>
      <c r="I261" s="107"/>
      <c r="J261" s="165"/>
      <c r="N261" s="8" t="b">
        <f>OR(Таблица1[[#This Row],[Щебень]]&gt;0,Таблица1[[#This Row],[Асфальт]]&gt;0,Таблица1[[#This Row],[Бетон]]&gt;0)</f>
        <v>1</v>
      </c>
      <c r="O261" s="8">
        <v>1</v>
      </c>
      <c r="Q261" s="8">
        <v>260</v>
      </c>
      <c r="S261" s="228"/>
      <c r="T261" s="228"/>
    </row>
    <row r="262" spans="1:20" ht="46.5" x14ac:dyDescent="0.35">
      <c r="A262" s="9">
        <v>262</v>
      </c>
      <c r="B262" s="9" t="s">
        <v>503</v>
      </c>
      <c r="C262" s="9" t="s">
        <v>504</v>
      </c>
      <c r="D262" s="9" t="s">
        <v>552</v>
      </c>
      <c r="E262" s="9">
        <f>Таблица1[[#This Row],[Грунт]]+Таблица1[[#This Row],[Щебень]]+Таблица1[[#This Row],[Асфальт]]+Таблица1[[#This Row],[Бетон]]</f>
        <v>0.7</v>
      </c>
      <c r="F262" s="104"/>
      <c r="G262" s="105">
        <v>0.7</v>
      </c>
      <c r="H262" s="106"/>
      <c r="I262" s="107"/>
      <c r="J262" s="165"/>
      <c r="N262" s="8" t="b">
        <f>OR(Таблица1[[#This Row],[Щебень]]&gt;0,Таблица1[[#This Row],[Асфальт]]&gt;0,Таблица1[[#This Row],[Бетон]]&gt;0)</f>
        <v>1</v>
      </c>
      <c r="O262" s="8">
        <v>1</v>
      </c>
      <c r="Q262" s="8">
        <v>261</v>
      </c>
      <c r="S262" s="228"/>
      <c r="T262" s="228"/>
    </row>
    <row r="263" spans="1:20" ht="46.5" x14ac:dyDescent="0.35">
      <c r="A263" s="9">
        <v>263</v>
      </c>
      <c r="B263" s="9" t="s">
        <v>505</v>
      </c>
      <c r="C263" s="9" t="s">
        <v>506</v>
      </c>
      <c r="D263" s="9" t="s">
        <v>552</v>
      </c>
      <c r="E263" s="9">
        <f>Таблица1[[#This Row],[Грунт]]+Таблица1[[#This Row],[Щебень]]+Таблица1[[#This Row],[Асфальт]]+Таблица1[[#This Row],[Бетон]]</f>
        <v>0.7</v>
      </c>
      <c r="F263" s="104"/>
      <c r="G263" s="105"/>
      <c r="H263" s="106">
        <v>0.7</v>
      </c>
      <c r="I263" s="107"/>
      <c r="J263" s="165"/>
      <c r="N263" s="8" t="b">
        <f>OR(Таблица1[[#This Row],[Щебень]]&gt;0,Таблица1[[#This Row],[Асфальт]]&gt;0,Таблица1[[#This Row],[Бетон]]&gt;0)</f>
        <v>1</v>
      </c>
      <c r="O263" s="8">
        <v>1</v>
      </c>
      <c r="Q263" s="8">
        <v>262</v>
      </c>
      <c r="S263" s="228"/>
      <c r="T263" s="228"/>
    </row>
    <row r="264" spans="1:20" ht="46.5" x14ac:dyDescent="0.35">
      <c r="A264" s="9">
        <v>264</v>
      </c>
      <c r="B264" s="9" t="s">
        <v>507</v>
      </c>
      <c r="C264" s="9" t="s">
        <v>508</v>
      </c>
      <c r="D264" s="9" t="s">
        <v>552</v>
      </c>
      <c r="E264" s="9">
        <f>Таблица1[[#This Row],[Грунт]]+Таблица1[[#This Row],[Щебень]]+Таблица1[[#This Row],[Асфальт]]+Таблица1[[#This Row],[Бетон]]</f>
        <v>0.98599999999999999</v>
      </c>
      <c r="F264" s="104"/>
      <c r="G264" s="121"/>
      <c r="H264" s="106">
        <v>0.98599999999999999</v>
      </c>
      <c r="I264" s="107"/>
      <c r="J264" s="165"/>
      <c r="N264" s="8" t="b">
        <f>OR(Таблица1[[#This Row],[Щебень]]&gt;0,Таблица1[[#This Row],[Асфальт]]&gt;0,Таблица1[[#This Row],[Бетон]]&gt;0)</f>
        <v>1</v>
      </c>
      <c r="O264" s="8">
        <v>1</v>
      </c>
      <c r="Q264" s="8">
        <v>263</v>
      </c>
      <c r="S264" s="228"/>
      <c r="T264" s="228"/>
    </row>
    <row r="265" spans="1:20" ht="46.5" x14ac:dyDescent="0.35">
      <c r="A265" s="9">
        <v>265</v>
      </c>
      <c r="B265" s="9" t="s">
        <v>509</v>
      </c>
      <c r="C265" s="9" t="s">
        <v>510</v>
      </c>
      <c r="D265" s="9" t="s">
        <v>552</v>
      </c>
      <c r="E265" s="9">
        <f>Таблица1[[#This Row],[Грунт]]+Таблица1[[#This Row],[Щебень]]+Таблица1[[#This Row],[Асфальт]]+Таблица1[[#This Row],[Бетон]]</f>
        <v>0.8</v>
      </c>
      <c r="F265" s="104">
        <v>0.8</v>
      </c>
      <c r="G265" s="105"/>
      <c r="H265" s="106"/>
      <c r="I265" s="107"/>
      <c r="J265" s="165"/>
      <c r="N265" s="8" t="b">
        <f>OR(Таблица1[[#This Row],[Щебень]]&gt;0,Таблица1[[#This Row],[Асфальт]]&gt;0,Таблица1[[#This Row],[Бетон]]&gt;0)</f>
        <v>0</v>
      </c>
      <c r="Q265" s="8">
        <v>264</v>
      </c>
      <c r="S265" s="228"/>
      <c r="T265" s="228"/>
    </row>
    <row r="266" spans="1:20" ht="46.5" x14ac:dyDescent="0.35">
      <c r="A266" s="9">
        <v>266</v>
      </c>
      <c r="B266" s="9" t="s">
        <v>511</v>
      </c>
      <c r="C266" s="9" t="s">
        <v>512</v>
      </c>
      <c r="D266" s="9" t="s">
        <v>552</v>
      </c>
      <c r="E266" s="9">
        <f>Таблица1[[#This Row],[Грунт]]+Таблица1[[#This Row],[Щебень]]+Таблица1[[#This Row],[Асфальт]]+Таблица1[[#This Row],[Бетон]]</f>
        <v>1.4</v>
      </c>
      <c r="F266" s="104"/>
      <c r="G266" s="105">
        <v>1.4</v>
      </c>
      <c r="H266" s="106"/>
      <c r="I266" s="107"/>
      <c r="J266" s="165"/>
      <c r="N266" s="8" t="b">
        <f>OR(Таблица1[[#This Row],[Щебень]]&gt;0,Таблица1[[#This Row],[Асфальт]]&gt;0,Таблица1[[#This Row],[Бетон]]&gt;0)</f>
        <v>1</v>
      </c>
      <c r="O266" s="8">
        <v>1</v>
      </c>
      <c r="Q266" s="8">
        <v>265</v>
      </c>
      <c r="S266" s="228"/>
      <c r="T266" s="228"/>
    </row>
    <row r="267" spans="1:20" ht="46.5" x14ac:dyDescent="0.35">
      <c r="A267" s="9">
        <v>267</v>
      </c>
      <c r="B267" s="9" t="s">
        <v>513</v>
      </c>
      <c r="C267" s="9" t="s">
        <v>514</v>
      </c>
      <c r="D267" s="9" t="s">
        <v>552</v>
      </c>
      <c r="E267" s="9">
        <f>Таблица1[[#This Row],[Грунт]]+Таблица1[[#This Row],[Щебень]]+Таблица1[[#This Row],[Асфальт]]+Таблица1[[#This Row],[Бетон]]</f>
        <v>1</v>
      </c>
      <c r="F267" s="104"/>
      <c r="G267" s="105">
        <v>1</v>
      </c>
      <c r="H267" s="106"/>
      <c r="I267" s="107"/>
      <c r="J267" s="165"/>
      <c r="N267" s="8" t="b">
        <f>OR(Таблица1[[#This Row],[Щебень]]&gt;0,Таблица1[[#This Row],[Асфальт]]&gt;0,Таблица1[[#This Row],[Бетон]]&gt;0)</f>
        <v>1</v>
      </c>
      <c r="O267" s="8">
        <v>1</v>
      </c>
      <c r="Q267" s="8">
        <v>266</v>
      </c>
      <c r="S267" s="228"/>
      <c r="T267" s="228"/>
    </row>
    <row r="268" spans="1:20" ht="46.5" x14ac:dyDescent="0.35">
      <c r="A268" s="9">
        <v>268</v>
      </c>
      <c r="B268" s="9" t="s">
        <v>515</v>
      </c>
      <c r="C268" s="9" t="s">
        <v>516</v>
      </c>
      <c r="D268" s="9" t="s">
        <v>552</v>
      </c>
      <c r="E268" s="9">
        <f>Таблица1[[#This Row],[Грунт]]+Таблица1[[#This Row],[Щебень]]+Таблица1[[#This Row],[Асфальт]]+Таблица1[[#This Row],[Бетон]]</f>
        <v>0.75</v>
      </c>
      <c r="F268" s="104"/>
      <c r="G268" s="105"/>
      <c r="H268" s="106">
        <v>0.75</v>
      </c>
      <c r="I268" s="107"/>
      <c r="J268" s="165"/>
      <c r="K268" s="8" t="s">
        <v>558</v>
      </c>
      <c r="N268" s="8" t="b">
        <f>OR(Таблица1[[#This Row],[Щебень]]&gt;0,Таблица1[[#This Row],[Асфальт]]&gt;0,Таблица1[[#This Row],[Бетон]]&gt;0)</f>
        <v>1</v>
      </c>
      <c r="O268" s="8">
        <v>1</v>
      </c>
      <c r="Q268" s="8">
        <v>267</v>
      </c>
      <c r="S268" s="228"/>
      <c r="T268" s="228"/>
    </row>
    <row r="269" spans="1:20" ht="46.5" x14ac:dyDescent="0.35">
      <c r="A269" s="9">
        <v>269</v>
      </c>
      <c r="B269" s="9" t="s">
        <v>517</v>
      </c>
      <c r="C269" s="9" t="s">
        <v>518</v>
      </c>
      <c r="D269" s="9" t="s">
        <v>552</v>
      </c>
      <c r="E269" s="9">
        <f>Таблица1[[#This Row],[Грунт]]+Таблица1[[#This Row],[Щебень]]+Таблица1[[#This Row],[Асфальт]]+Таблица1[[#This Row],[Бетон]]</f>
        <v>0.3</v>
      </c>
      <c r="F269" s="104">
        <v>0</v>
      </c>
      <c r="G269" s="105"/>
      <c r="H269" s="106">
        <v>0.3</v>
      </c>
      <c r="I269" s="107"/>
      <c r="J269" s="165" t="s">
        <v>800</v>
      </c>
      <c r="N269" s="8" t="b">
        <f>OR(Таблица1[[#This Row],[Щебень]]&gt;0,Таблица1[[#This Row],[Асфальт]]&gt;0,Таблица1[[#This Row],[Бетон]]&gt;0)</f>
        <v>1</v>
      </c>
      <c r="Q269" s="8">
        <v>268</v>
      </c>
      <c r="S269" s="228"/>
      <c r="T269" s="228"/>
    </row>
    <row r="270" spans="1:20" ht="46.5" x14ac:dyDescent="0.35">
      <c r="A270" s="9">
        <v>270</v>
      </c>
      <c r="B270" s="9" t="s">
        <v>519</v>
      </c>
      <c r="C270" s="9" t="s">
        <v>520</v>
      </c>
      <c r="D270" s="9" t="s">
        <v>552</v>
      </c>
      <c r="E270" s="9">
        <f>Таблица1[[#This Row],[Грунт]]+Таблица1[[#This Row],[Щебень]]+Таблица1[[#This Row],[Асфальт]]+Таблица1[[#This Row],[Бетон]]</f>
        <v>0.1</v>
      </c>
      <c r="F270" s="104"/>
      <c r="G270" s="105"/>
      <c r="H270" s="106">
        <v>0.1</v>
      </c>
      <c r="I270" s="107"/>
      <c r="J270" s="165" t="s">
        <v>800</v>
      </c>
      <c r="N270" s="8" t="b">
        <f>OR(Таблица1[[#This Row],[Щебень]]&gt;0,Таблица1[[#This Row],[Асфальт]]&gt;0,Таблица1[[#This Row],[Бетон]]&gt;0)</f>
        <v>1</v>
      </c>
      <c r="Q270" s="8">
        <v>269</v>
      </c>
      <c r="S270" s="228"/>
      <c r="T270" s="228"/>
    </row>
    <row r="271" spans="1:20" ht="46.5" x14ac:dyDescent="0.35">
      <c r="A271" s="9">
        <v>271</v>
      </c>
      <c r="B271" s="9" t="s">
        <v>521</v>
      </c>
      <c r="C271" s="9" t="s">
        <v>522</v>
      </c>
      <c r="D271" s="9" t="s">
        <v>552</v>
      </c>
      <c r="E271" s="9">
        <f>Таблица1[[#This Row],[Грунт]]+Таблица1[[#This Row],[Щебень]]+Таблица1[[#This Row],[Асфальт]]+Таблица1[[#This Row],[Бетон]]</f>
        <v>0.4</v>
      </c>
      <c r="F271" s="104"/>
      <c r="G271" s="105">
        <v>0</v>
      </c>
      <c r="H271" s="106">
        <v>0.4</v>
      </c>
      <c r="I271" s="107"/>
      <c r="J271" s="165" t="s">
        <v>800</v>
      </c>
      <c r="N271" s="8" t="b">
        <f>OR(Таблица1[[#This Row],[Щебень]]&gt;0,Таблица1[[#This Row],[Асфальт]]&gt;0,Таблица1[[#This Row],[Бетон]]&gt;0)</f>
        <v>1</v>
      </c>
      <c r="O271" s="8">
        <v>1</v>
      </c>
      <c r="Q271" s="8">
        <v>270</v>
      </c>
      <c r="S271" s="228"/>
      <c r="T271" s="228"/>
    </row>
    <row r="272" spans="1:20" ht="46.5" x14ac:dyDescent="0.35">
      <c r="A272" s="9">
        <v>272</v>
      </c>
      <c r="B272" s="9" t="s">
        <v>523</v>
      </c>
      <c r="C272" s="9" t="s">
        <v>524</v>
      </c>
      <c r="D272" s="9" t="s">
        <v>552</v>
      </c>
      <c r="E272" s="9">
        <f>Таблица1[[#This Row],[Грунт]]+Таблица1[[#This Row],[Щебень]]+Таблица1[[#This Row],[Асфальт]]+Таблица1[[#This Row],[Бетон]]</f>
        <v>1.7190000000000001</v>
      </c>
      <c r="F272" s="104">
        <v>1.7190000000000001</v>
      </c>
      <c r="G272" s="105"/>
      <c r="H272" s="106"/>
      <c r="I272" s="107"/>
      <c r="J272" s="165"/>
      <c r="N272" s="8" t="b">
        <f>OR(Таблица1[[#This Row],[Щебень]]&gt;0,Таблица1[[#This Row],[Асфальт]]&gt;0,Таблица1[[#This Row],[Бетон]]&gt;0)</f>
        <v>0</v>
      </c>
      <c r="Q272" s="8">
        <v>271</v>
      </c>
      <c r="S272" s="228"/>
      <c r="T272" s="228"/>
    </row>
    <row r="273" spans="1:20" ht="46.5" x14ac:dyDescent="0.35">
      <c r="A273" s="9">
        <v>273</v>
      </c>
      <c r="B273" s="9" t="s">
        <v>553</v>
      </c>
      <c r="C273" s="9" t="s">
        <v>554</v>
      </c>
      <c r="D273" s="9" t="s">
        <v>552</v>
      </c>
      <c r="E273" s="9">
        <f>Таблица1[[#This Row],[Грунт]]+Таблица1[[#This Row],[Щебень]]+Таблица1[[#This Row],[Асфальт]]+Таблица1[[#This Row],[Бетон]]</f>
        <v>3</v>
      </c>
      <c r="F273" s="104">
        <v>2.1</v>
      </c>
      <c r="G273" s="105">
        <v>0.9</v>
      </c>
      <c r="H273" s="106"/>
      <c r="I273" s="107"/>
      <c r="J273" s="165"/>
      <c r="K273" s="10" t="s">
        <v>557</v>
      </c>
      <c r="N273" s="8" t="b">
        <f>OR(Таблица1[[#This Row],[Щебень]]&gt;0,Таблица1[[#This Row],[Асфальт]]&gt;0,Таблица1[[#This Row],[Бетон]]&gt;0)</f>
        <v>1</v>
      </c>
      <c r="O273" s="8">
        <v>1</v>
      </c>
      <c r="Q273" s="8">
        <v>272</v>
      </c>
      <c r="S273" s="228"/>
      <c r="T273" s="228"/>
    </row>
    <row r="274" spans="1:20" ht="46.5" x14ac:dyDescent="0.35">
      <c r="A274" s="9">
        <v>274</v>
      </c>
      <c r="B274" s="9" t="s">
        <v>525</v>
      </c>
      <c r="C274" s="9" t="s">
        <v>526</v>
      </c>
      <c r="D274" s="9" t="s">
        <v>552</v>
      </c>
      <c r="E274" s="9">
        <f>Таблица1[[#This Row],[Грунт]]+Таблица1[[#This Row],[Щебень]]+Таблица1[[#This Row],[Асфальт]]+Таблица1[[#This Row],[Бетон]]</f>
        <v>6.6</v>
      </c>
      <c r="F274" s="104">
        <v>0.7</v>
      </c>
      <c r="G274" s="105">
        <v>0.9</v>
      </c>
      <c r="H274" s="106">
        <v>5</v>
      </c>
      <c r="I274" s="107"/>
      <c r="J274" s="165"/>
      <c r="N274" s="8" t="b">
        <f>OR(Таблица1[[#This Row],[Щебень]]&gt;0,Таблица1[[#This Row],[Асфальт]]&gt;0,Таблица1[[#This Row],[Бетон]]&gt;0)</f>
        <v>1</v>
      </c>
      <c r="O274" s="8">
        <v>1</v>
      </c>
      <c r="Q274" s="8">
        <v>273</v>
      </c>
      <c r="S274" s="228"/>
      <c r="T274" s="228"/>
    </row>
    <row r="275" spans="1:20" ht="46.5" x14ac:dyDescent="0.35">
      <c r="A275" s="9">
        <v>275</v>
      </c>
      <c r="B275" s="9" t="s">
        <v>812</v>
      </c>
      <c r="C275" s="9" t="s">
        <v>816</v>
      </c>
      <c r="D275" s="9" t="s">
        <v>552</v>
      </c>
      <c r="E275" s="223">
        <f>Таблица1[[#This Row],[Грунт]]+Таблица1[[#This Row],[Щебень]]+Таблица1[[#This Row],[Асфальт]]+Таблица1[[#This Row],[Бетон]]</f>
        <v>0.6</v>
      </c>
      <c r="F275" s="224"/>
      <c r="G275" s="225">
        <v>0.6</v>
      </c>
      <c r="H275" s="226"/>
      <c r="I275" s="227"/>
      <c r="J275" s="165"/>
      <c r="K275" s="228"/>
      <c r="L275" s="228"/>
      <c r="N275" s="229" t="b">
        <f>OR(Таблица1[[#This Row],[Щебень]]&gt;0,Таблица1[[#This Row],[Асфальт]]&gt;0,Таблица1[[#This Row],[Бетон]]&gt;0)</f>
        <v>1</v>
      </c>
      <c r="O275" s="228"/>
      <c r="P275" s="228"/>
      <c r="Q275" s="228"/>
      <c r="R275" s="228"/>
      <c r="S275" s="228"/>
      <c r="T275" s="228"/>
    </row>
    <row r="276" spans="1:20" ht="46.5" x14ac:dyDescent="0.35">
      <c r="A276" s="9">
        <v>276</v>
      </c>
      <c r="B276" s="9" t="s">
        <v>813</v>
      </c>
      <c r="C276" s="9" t="s">
        <v>817</v>
      </c>
      <c r="D276" s="9" t="s">
        <v>552</v>
      </c>
      <c r="E276" s="223">
        <f>Таблица1[[#This Row],[Грунт]]+Таблица1[[#This Row],[Щебень]]+Таблица1[[#This Row],[Асфальт]]+Таблица1[[#This Row],[Бетон]]</f>
        <v>0.79</v>
      </c>
      <c r="F276" s="224"/>
      <c r="G276" s="225">
        <v>0.79</v>
      </c>
      <c r="H276" s="226"/>
      <c r="I276" s="227"/>
      <c r="J276" s="165"/>
      <c r="K276" s="228"/>
      <c r="L276" s="228"/>
      <c r="N276" s="229" t="b">
        <f>OR(Таблица1[[#This Row],[Щебень]]&gt;0,Таблица1[[#This Row],[Асфальт]]&gt;0,Таблица1[[#This Row],[Бетон]]&gt;0)</f>
        <v>1</v>
      </c>
      <c r="O276" s="228"/>
      <c r="P276" s="228"/>
      <c r="Q276" s="228"/>
      <c r="R276" s="228"/>
      <c r="S276" s="228"/>
      <c r="T276" s="228"/>
    </row>
    <row r="277" spans="1:20" ht="46.5" x14ac:dyDescent="0.35">
      <c r="A277" s="9">
        <v>277</v>
      </c>
      <c r="B277" s="9" t="s">
        <v>814</v>
      </c>
      <c r="C277" s="9" t="s">
        <v>818</v>
      </c>
      <c r="D277" s="9" t="s">
        <v>552</v>
      </c>
      <c r="E277" s="223">
        <f>Таблица1[[#This Row],[Грунт]]+Таблица1[[#This Row],[Щебень]]+Таблица1[[#This Row],[Асфальт]]+Таблица1[[#This Row],[Бетон]]</f>
        <v>0.76</v>
      </c>
      <c r="F277" s="224"/>
      <c r="G277" s="225">
        <v>0.76</v>
      </c>
      <c r="H277" s="226"/>
      <c r="I277" s="227"/>
      <c r="J277" s="165"/>
      <c r="K277" s="228"/>
      <c r="L277" s="228"/>
      <c r="N277" s="229" t="b">
        <f>OR(Таблица1[[#This Row],[Щебень]]&gt;0,Таблица1[[#This Row],[Асфальт]]&gt;0,Таблица1[[#This Row],[Бетон]]&gt;0)</f>
        <v>1</v>
      </c>
      <c r="O277" s="228"/>
      <c r="P277" s="228"/>
      <c r="Q277" s="228"/>
      <c r="R277" s="228"/>
      <c r="S277" s="228"/>
      <c r="T277" s="228"/>
    </row>
    <row r="278" spans="1:20" ht="46.5" x14ac:dyDescent="0.35">
      <c r="A278" s="9">
        <v>278</v>
      </c>
      <c r="B278" s="9" t="s">
        <v>815</v>
      </c>
      <c r="C278" s="9" t="s">
        <v>819</v>
      </c>
      <c r="D278" s="9" t="s">
        <v>552</v>
      </c>
      <c r="E278" s="223">
        <f>Таблица1[[#This Row],[Грунт]]+Таблица1[[#This Row],[Щебень]]+Таблица1[[#This Row],[Асфальт]]+Таблица1[[#This Row],[Бетон]]</f>
        <v>0.63</v>
      </c>
      <c r="F278" s="224"/>
      <c r="G278" s="225">
        <v>0.63</v>
      </c>
      <c r="H278" s="226"/>
      <c r="I278" s="227"/>
      <c r="J278" s="165"/>
      <c r="K278" s="228"/>
      <c r="L278" s="228"/>
      <c r="N278" s="229" t="b">
        <f>OR(Таблица1[[#This Row],[Щебень]]&gt;0,Таблица1[[#This Row],[Асфальт]]&gt;0,Таблица1[[#This Row],[Бетон]]&gt;0)</f>
        <v>1</v>
      </c>
      <c r="O278" s="228"/>
      <c r="P278" s="228"/>
      <c r="Q278" s="228"/>
      <c r="R278" s="228"/>
      <c r="S278" s="228"/>
      <c r="T278" s="228"/>
    </row>
    <row r="279" spans="1:20" ht="45.75" thickBot="1" x14ac:dyDescent="0.4">
      <c r="A279" s="13" t="s">
        <v>562</v>
      </c>
      <c r="B279" s="13"/>
      <c r="C279" s="13"/>
      <c r="D279" s="13"/>
      <c r="E279" s="120">
        <f>SUBTOTAL(109,Таблица1[Протяженность(км)])</f>
        <v>491.28100000000012</v>
      </c>
      <c r="F279" s="120">
        <f>SUBTOTAL(109,Таблица1[Грунт])</f>
        <v>316.93399999999997</v>
      </c>
      <c r="G279" s="120">
        <f>SUBTOTAL(109,Таблица1[Щебень])</f>
        <v>63.611000000000004</v>
      </c>
      <c r="H279" s="120">
        <f>SUBTOTAL(109,Таблица1[Асфальт])</f>
        <v>104.51599999999998</v>
      </c>
      <c r="I279" s="120">
        <f>SUBTOTAL(109,Таблица1[Бетон])</f>
        <v>6.2200000000000006</v>
      </c>
      <c r="J279" s="120">
        <f>SUBTOTAL(109,Таблица1[Столбец6])</f>
        <v>0</v>
      </c>
      <c r="K279" s="120">
        <f>SUBTOTAL(109,Таблица1[ПАСПОРТИЗАЦИЯ])</f>
        <v>0</v>
      </c>
      <c r="L279" s="120">
        <f>SUBTOTAL(109,Таблица1[МЕЖЕВАНИЕ])</f>
        <v>1.45</v>
      </c>
      <c r="M279" s="120">
        <f>SUBTOTAL(109,Таблица1[Столбец5])</f>
        <v>0</v>
      </c>
      <c r="N279" s="120">
        <f>SUBTOTAL(109,Таблица1[ФИЛЬТР ПО ТВЕРДОМУ])</f>
        <v>0</v>
      </c>
      <c r="O279" s="15">
        <f>SUBTOTAL(109,Таблица1[Столбец1])</f>
        <v>101.7</v>
      </c>
      <c r="P279" s="15"/>
      <c r="Q279" s="15"/>
      <c r="R279" s="15"/>
      <c r="S279" s="15"/>
      <c r="T279" s="15"/>
    </row>
    <row r="280" spans="1:20" ht="24" thickTop="1" x14ac:dyDescent="0.35">
      <c r="A280" s="9"/>
      <c r="B280" s="16"/>
      <c r="C280" s="9"/>
      <c r="D280" s="222"/>
      <c r="E280" s="15">
        <f>F280/Таблица1[[#Totals],[Протяженность(км)]]</f>
        <v>0.3548824399885197</v>
      </c>
      <c r="F280" s="8">
        <f>Таблица1[[#Totals],[Бетон]]+Таблица1[[#Totals],[Асфальт]]+Таблица1[[#Totals],[Щебень]]</f>
        <v>174.34699999999998</v>
      </c>
      <c r="G280" s="15">
        <f>Таблица1[[#Totals],[Щебень]]+Таблица1[[#Totals],[Асфальт]]</f>
        <v>168.12699999999998</v>
      </c>
      <c r="I280" s="8"/>
      <c r="J280" s="168"/>
    </row>
    <row r="281" spans="1:20" x14ac:dyDescent="0.35">
      <c r="D281" s="8">
        <f>E280+E281</f>
        <v>0.99999999999999978</v>
      </c>
      <c r="E281" s="15">
        <v>0.64511756001148002</v>
      </c>
      <c r="G281" s="15">
        <f>G280/Таблица1[[#Totals],[Протяженность(км)]]</f>
        <v>0.34222166133027726</v>
      </c>
      <c r="I281" s="8"/>
      <c r="J281" s="168"/>
    </row>
    <row r="282" spans="1:20" x14ac:dyDescent="0.35">
      <c r="B282" s="8" t="s">
        <v>793</v>
      </c>
      <c r="F282" s="103"/>
    </row>
    <row r="283" spans="1:20" x14ac:dyDescent="0.35">
      <c r="D283" s="103"/>
      <c r="E283" s="117"/>
      <c r="F283" s="114"/>
    </row>
    <row r="284" spans="1:20" x14ac:dyDescent="0.35">
      <c r="H284" s="114"/>
      <c r="I284" s="117"/>
      <c r="J284" s="170"/>
    </row>
    <row r="300" spans="3:3" x14ac:dyDescent="0.35">
      <c r="C300" s="8" t="s">
        <v>570</v>
      </c>
    </row>
  </sheetData>
  <phoneticPr fontId="1" type="noConversion"/>
  <pageMargins left="0.7" right="0.7" top="0.75" bottom="0.75" header="0.3" footer="0.3"/>
  <pageSetup paperSize="9" scale="37" fitToHeight="0" orientation="landscape" horizontalDpi="180" verticalDpi="18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9849A4-E934-482F-97A4-D8A458CD69F0}">
  <dimension ref="A1:U40"/>
  <sheetViews>
    <sheetView view="pageBreakPreview" zoomScale="60" zoomScaleNormal="202" workbookViewId="0">
      <selection activeCell="A4" sqref="A1:XFD1048576"/>
    </sheetView>
  </sheetViews>
  <sheetFormatPr defaultRowHeight="21" x14ac:dyDescent="0.35"/>
  <cols>
    <col min="1" max="1" width="31.42578125" style="260" customWidth="1"/>
    <col min="2" max="10" width="12.42578125" style="260" customWidth="1"/>
    <col min="11" max="12" width="9.140625" style="260"/>
    <col min="13" max="13" width="7.85546875" style="260" customWidth="1"/>
    <col min="14" max="14" width="15.42578125" style="260" customWidth="1"/>
    <col min="15" max="15" width="18" style="260" customWidth="1"/>
    <col min="16" max="20" width="9.140625" style="260"/>
    <col min="21" max="21" width="7.140625" style="260" customWidth="1"/>
    <col min="22" max="256" width="9.140625" style="260"/>
    <col min="257" max="257" width="21" style="260" customWidth="1"/>
    <col min="258" max="258" width="6.42578125" style="260" customWidth="1"/>
    <col min="259" max="259" width="8.140625" style="260" customWidth="1"/>
    <col min="260" max="260" width="7.140625" style="260" customWidth="1"/>
    <col min="261" max="261" width="8.7109375" style="260" customWidth="1"/>
    <col min="262" max="262" width="7.42578125" style="260" customWidth="1"/>
    <col min="263" max="263" width="8.5703125" style="260" customWidth="1"/>
    <col min="264" max="264" width="7.42578125" style="260" customWidth="1"/>
    <col min="265" max="266" width="10.7109375" style="260" customWidth="1"/>
    <col min="267" max="268" width="9.140625" style="260"/>
    <col min="269" max="269" width="7.85546875" style="260" customWidth="1"/>
    <col min="270" max="270" width="8.42578125" style="260" customWidth="1"/>
    <col min="271" max="271" width="8.28515625" style="260" customWidth="1"/>
    <col min="272" max="276" width="9.140625" style="260"/>
    <col min="277" max="277" width="7.140625" style="260" customWidth="1"/>
    <col min="278" max="512" width="9.140625" style="260"/>
    <col min="513" max="513" width="21" style="260" customWidth="1"/>
    <col min="514" max="514" width="6.42578125" style="260" customWidth="1"/>
    <col min="515" max="515" width="8.140625" style="260" customWidth="1"/>
    <col min="516" max="516" width="7.140625" style="260" customWidth="1"/>
    <col min="517" max="517" width="8.7109375" style="260" customWidth="1"/>
    <col min="518" max="518" width="7.42578125" style="260" customWidth="1"/>
    <col min="519" max="519" width="8.5703125" style="260" customWidth="1"/>
    <col min="520" max="520" width="7.42578125" style="260" customWidth="1"/>
    <col min="521" max="522" width="10.7109375" style="260" customWidth="1"/>
    <col min="523" max="524" width="9.140625" style="260"/>
    <col min="525" max="525" width="7.85546875" style="260" customWidth="1"/>
    <col min="526" max="526" width="8.42578125" style="260" customWidth="1"/>
    <col min="527" max="527" width="8.28515625" style="260" customWidth="1"/>
    <col min="528" max="532" width="9.140625" style="260"/>
    <col min="533" max="533" width="7.140625" style="260" customWidth="1"/>
    <col min="534" max="768" width="9.140625" style="260"/>
    <col min="769" max="769" width="21" style="260" customWidth="1"/>
    <col min="770" max="770" width="6.42578125" style="260" customWidth="1"/>
    <col min="771" max="771" width="8.140625" style="260" customWidth="1"/>
    <col min="772" max="772" width="7.140625" style="260" customWidth="1"/>
    <col min="773" max="773" width="8.7109375" style="260" customWidth="1"/>
    <col min="774" max="774" width="7.42578125" style="260" customWidth="1"/>
    <col min="775" max="775" width="8.5703125" style="260" customWidth="1"/>
    <col min="776" max="776" width="7.42578125" style="260" customWidth="1"/>
    <col min="777" max="778" width="10.7109375" style="260" customWidth="1"/>
    <col min="779" max="780" width="9.140625" style="260"/>
    <col min="781" max="781" width="7.85546875" style="260" customWidth="1"/>
    <col min="782" max="782" width="8.42578125" style="260" customWidth="1"/>
    <col min="783" max="783" width="8.28515625" style="260" customWidth="1"/>
    <col min="784" max="788" width="9.140625" style="260"/>
    <col min="789" max="789" width="7.140625" style="260" customWidth="1"/>
    <col min="790" max="1024" width="9.140625" style="260"/>
    <col min="1025" max="1025" width="21" style="260" customWidth="1"/>
    <col min="1026" max="1026" width="6.42578125" style="260" customWidth="1"/>
    <col min="1027" max="1027" width="8.140625" style="260" customWidth="1"/>
    <col min="1028" max="1028" width="7.140625" style="260" customWidth="1"/>
    <col min="1029" max="1029" width="8.7109375" style="260" customWidth="1"/>
    <col min="1030" max="1030" width="7.42578125" style="260" customWidth="1"/>
    <col min="1031" max="1031" width="8.5703125" style="260" customWidth="1"/>
    <col min="1032" max="1032" width="7.42578125" style="260" customWidth="1"/>
    <col min="1033" max="1034" width="10.7109375" style="260" customWidth="1"/>
    <col min="1035" max="1036" width="9.140625" style="260"/>
    <col min="1037" max="1037" width="7.85546875" style="260" customWidth="1"/>
    <col min="1038" max="1038" width="8.42578125" style="260" customWidth="1"/>
    <col min="1039" max="1039" width="8.28515625" style="260" customWidth="1"/>
    <col min="1040" max="1044" width="9.140625" style="260"/>
    <col min="1045" max="1045" width="7.140625" style="260" customWidth="1"/>
    <col min="1046" max="1280" width="9.140625" style="260"/>
    <col min="1281" max="1281" width="21" style="260" customWidth="1"/>
    <col min="1282" max="1282" width="6.42578125" style="260" customWidth="1"/>
    <col min="1283" max="1283" width="8.140625" style="260" customWidth="1"/>
    <col min="1284" max="1284" width="7.140625" style="260" customWidth="1"/>
    <col min="1285" max="1285" width="8.7109375" style="260" customWidth="1"/>
    <col min="1286" max="1286" width="7.42578125" style="260" customWidth="1"/>
    <col min="1287" max="1287" width="8.5703125" style="260" customWidth="1"/>
    <col min="1288" max="1288" width="7.42578125" style="260" customWidth="1"/>
    <col min="1289" max="1290" width="10.7109375" style="260" customWidth="1"/>
    <col min="1291" max="1292" width="9.140625" style="260"/>
    <col min="1293" max="1293" width="7.85546875" style="260" customWidth="1"/>
    <col min="1294" max="1294" width="8.42578125" style="260" customWidth="1"/>
    <col min="1295" max="1295" width="8.28515625" style="260" customWidth="1"/>
    <col min="1296" max="1300" width="9.140625" style="260"/>
    <col min="1301" max="1301" width="7.140625" style="260" customWidth="1"/>
    <col min="1302" max="1536" width="9.140625" style="260"/>
    <col min="1537" max="1537" width="21" style="260" customWidth="1"/>
    <col min="1538" max="1538" width="6.42578125" style="260" customWidth="1"/>
    <col min="1539" max="1539" width="8.140625" style="260" customWidth="1"/>
    <col min="1540" max="1540" width="7.140625" style="260" customWidth="1"/>
    <col min="1541" max="1541" width="8.7109375" style="260" customWidth="1"/>
    <col min="1542" max="1542" width="7.42578125" style="260" customWidth="1"/>
    <col min="1543" max="1543" width="8.5703125" style="260" customWidth="1"/>
    <col min="1544" max="1544" width="7.42578125" style="260" customWidth="1"/>
    <col min="1545" max="1546" width="10.7109375" style="260" customWidth="1"/>
    <col min="1547" max="1548" width="9.140625" style="260"/>
    <col min="1549" max="1549" width="7.85546875" style="260" customWidth="1"/>
    <col min="1550" max="1550" width="8.42578125" style="260" customWidth="1"/>
    <col min="1551" max="1551" width="8.28515625" style="260" customWidth="1"/>
    <col min="1552" max="1556" width="9.140625" style="260"/>
    <col min="1557" max="1557" width="7.140625" style="260" customWidth="1"/>
    <col min="1558" max="1792" width="9.140625" style="260"/>
    <col min="1793" max="1793" width="21" style="260" customWidth="1"/>
    <col min="1794" max="1794" width="6.42578125" style="260" customWidth="1"/>
    <col min="1795" max="1795" width="8.140625" style="260" customWidth="1"/>
    <col min="1796" max="1796" width="7.140625" style="260" customWidth="1"/>
    <col min="1797" max="1797" width="8.7109375" style="260" customWidth="1"/>
    <col min="1798" max="1798" width="7.42578125" style="260" customWidth="1"/>
    <col min="1799" max="1799" width="8.5703125" style="260" customWidth="1"/>
    <col min="1800" max="1800" width="7.42578125" style="260" customWidth="1"/>
    <col min="1801" max="1802" width="10.7109375" style="260" customWidth="1"/>
    <col min="1803" max="1804" width="9.140625" style="260"/>
    <col min="1805" max="1805" width="7.85546875" style="260" customWidth="1"/>
    <col min="1806" max="1806" width="8.42578125" style="260" customWidth="1"/>
    <col min="1807" max="1807" width="8.28515625" style="260" customWidth="1"/>
    <col min="1808" max="1812" width="9.140625" style="260"/>
    <col min="1813" max="1813" width="7.140625" style="260" customWidth="1"/>
    <col min="1814" max="2048" width="9.140625" style="260"/>
    <col min="2049" max="2049" width="21" style="260" customWidth="1"/>
    <col min="2050" max="2050" width="6.42578125" style="260" customWidth="1"/>
    <col min="2051" max="2051" width="8.140625" style="260" customWidth="1"/>
    <col min="2052" max="2052" width="7.140625" style="260" customWidth="1"/>
    <col min="2053" max="2053" width="8.7109375" style="260" customWidth="1"/>
    <col min="2054" max="2054" width="7.42578125" style="260" customWidth="1"/>
    <col min="2055" max="2055" width="8.5703125" style="260" customWidth="1"/>
    <col min="2056" max="2056" width="7.42578125" style="260" customWidth="1"/>
    <col min="2057" max="2058" width="10.7109375" style="260" customWidth="1"/>
    <col min="2059" max="2060" width="9.140625" style="260"/>
    <col min="2061" max="2061" width="7.85546875" style="260" customWidth="1"/>
    <col min="2062" max="2062" width="8.42578125" style="260" customWidth="1"/>
    <col min="2063" max="2063" width="8.28515625" style="260" customWidth="1"/>
    <col min="2064" max="2068" width="9.140625" style="260"/>
    <col min="2069" max="2069" width="7.140625" style="260" customWidth="1"/>
    <col min="2070" max="2304" width="9.140625" style="260"/>
    <col min="2305" max="2305" width="21" style="260" customWidth="1"/>
    <col min="2306" max="2306" width="6.42578125" style="260" customWidth="1"/>
    <col min="2307" max="2307" width="8.140625" style="260" customWidth="1"/>
    <col min="2308" max="2308" width="7.140625" style="260" customWidth="1"/>
    <col min="2309" max="2309" width="8.7109375" style="260" customWidth="1"/>
    <col min="2310" max="2310" width="7.42578125" style="260" customWidth="1"/>
    <col min="2311" max="2311" width="8.5703125" style="260" customWidth="1"/>
    <col min="2312" max="2312" width="7.42578125" style="260" customWidth="1"/>
    <col min="2313" max="2314" width="10.7109375" style="260" customWidth="1"/>
    <col min="2315" max="2316" width="9.140625" style="260"/>
    <col min="2317" max="2317" width="7.85546875" style="260" customWidth="1"/>
    <col min="2318" max="2318" width="8.42578125" style="260" customWidth="1"/>
    <col min="2319" max="2319" width="8.28515625" style="260" customWidth="1"/>
    <col min="2320" max="2324" width="9.140625" style="260"/>
    <col min="2325" max="2325" width="7.140625" style="260" customWidth="1"/>
    <col min="2326" max="2560" width="9.140625" style="260"/>
    <col min="2561" max="2561" width="21" style="260" customWidth="1"/>
    <col min="2562" max="2562" width="6.42578125" style="260" customWidth="1"/>
    <col min="2563" max="2563" width="8.140625" style="260" customWidth="1"/>
    <col min="2564" max="2564" width="7.140625" style="260" customWidth="1"/>
    <col min="2565" max="2565" width="8.7109375" style="260" customWidth="1"/>
    <col min="2566" max="2566" width="7.42578125" style="260" customWidth="1"/>
    <col min="2567" max="2567" width="8.5703125" style="260" customWidth="1"/>
    <col min="2568" max="2568" width="7.42578125" style="260" customWidth="1"/>
    <col min="2569" max="2570" width="10.7109375" style="260" customWidth="1"/>
    <col min="2571" max="2572" width="9.140625" style="260"/>
    <col min="2573" max="2573" width="7.85546875" style="260" customWidth="1"/>
    <col min="2574" max="2574" width="8.42578125" style="260" customWidth="1"/>
    <col min="2575" max="2575" width="8.28515625" style="260" customWidth="1"/>
    <col min="2576" max="2580" width="9.140625" style="260"/>
    <col min="2581" max="2581" width="7.140625" style="260" customWidth="1"/>
    <col min="2582" max="2816" width="9.140625" style="260"/>
    <col min="2817" max="2817" width="21" style="260" customWidth="1"/>
    <col min="2818" max="2818" width="6.42578125" style="260" customWidth="1"/>
    <col min="2819" max="2819" width="8.140625" style="260" customWidth="1"/>
    <col min="2820" max="2820" width="7.140625" style="260" customWidth="1"/>
    <col min="2821" max="2821" width="8.7109375" style="260" customWidth="1"/>
    <col min="2822" max="2822" width="7.42578125" style="260" customWidth="1"/>
    <col min="2823" max="2823" width="8.5703125" style="260" customWidth="1"/>
    <col min="2824" max="2824" width="7.42578125" style="260" customWidth="1"/>
    <col min="2825" max="2826" width="10.7109375" style="260" customWidth="1"/>
    <col min="2827" max="2828" width="9.140625" style="260"/>
    <col min="2829" max="2829" width="7.85546875" style="260" customWidth="1"/>
    <col min="2830" max="2830" width="8.42578125" style="260" customWidth="1"/>
    <col min="2831" max="2831" width="8.28515625" style="260" customWidth="1"/>
    <col min="2832" max="2836" width="9.140625" style="260"/>
    <col min="2837" max="2837" width="7.140625" style="260" customWidth="1"/>
    <col min="2838" max="3072" width="9.140625" style="260"/>
    <col min="3073" max="3073" width="21" style="260" customWidth="1"/>
    <col min="3074" max="3074" width="6.42578125" style="260" customWidth="1"/>
    <col min="3075" max="3075" width="8.140625" style="260" customWidth="1"/>
    <col min="3076" max="3076" width="7.140625" style="260" customWidth="1"/>
    <col min="3077" max="3077" width="8.7109375" style="260" customWidth="1"/>
    <col min="3078" max="3078" width="7.42578125" style="260" customWidth="1"/>
    <col min="3079" max="3079" width="8.5703125" style="260" customWidth="1"/>
    <col min="3080" max="3080" width="7.42578125" style="260" customWidth="1"/>
    <col min="3081" max="3082" width="10.7109375" style="260" customWidth="1"/>
    <col min="3083" max="3084" width="9.140625" style="260"/>
    <col min="3085" max="3085" width="7.85546875" style="260" customWidth="1"/>
    <col min="3086" max="3086" width="8.42578125" style="260" customWidth="1"/>
    <col min="3087" max="3087" width="8.28515625" style="260" customWidth="1"/>
    <col min="3088" max="3092" width="9.140625" style="260"/>
    <col min="3093" max="3093" width="7.140625" style="260" customWidth="1"/>
    <col min="3094" max="3328" width="9.140625" style="260"/>
    <col min="3329" max="3329" width="21" style="260" customWidth="1"/>
    <col min="3330" max="3330" width="6.42578125" style="260" customWidth="1"/>
    <col min="3331" max="3331" width="8.140625" style="260" customWidth="1"/>
    <col min="3332" max="3332" width="7.140625" style="260" customWidth="1"/>
    <col min="3333" max="3333" width="8.7109375" style="260" customWidth="1"/>
    <col min="3334" max="3334" width="7.42578125" style="260" customWidth="1"/>
    <col min="3335" max="3335" width="8.5703125" style="260" customWidth="1"/>
    <col min="3336" max="3336" width="7.42578125" style="260" customWidth="1"/>
    <col min="3337" max="3338" width="10.7109375" style="260" customWidth="1"/>
    <col min="3339" max="3340" width="9.140625" style="260"/>
    <col min="3341" max="3341" width="7.85546875" style="260" customWidth="1"/>
    <col min="3342" max="3342" width="8.42578125" style="260" customWidth="1"/>
    <col min="3343" max="3343" width="8.28515625" style="260" customWidth="1"/>
    <col min="3344" max="3348" width="9.140625" style="260"/>
    <col min="3349" max="3349" width="7.140625" style="260" customWidth="1"/>
    <col min="3350" max="3584" width="9.140625" style="260"/>
    <col min="3585" max="3585" width="21" style="260" customWidth="1"/>
    <col min="3586" max="3586" width="6.42578125" style="260" customWidth="1"/>
    <col min="3587" max="3587" width="8.140625" style="260" customWidth="1"/>
    <col min="3588" max="3588" width="7.140625" style="260" customWidth="1"/>
    <col min="3589" max="3589" width="8.7109375" style="260" customWidth="1"/>
    <col min="3590" max="3590" width="7.42578125" style="260" customWidth="1"/>
    <col min="3591" max="3591" width="8.5703125" style="260" customWidth="1"/>
    <col min="3592" max="3592" width="7.42578125" style="260" customWidth="1"/>
    <col min="3593" max="3594" width="10.7109375" style="260" customWidth="1"/>
    <col min="3595" max="3596" width="9.140625" style="260"/>
    <col min="3597" max="3597" width="7.85546875" style="260" customWidth="1"/>
    <col min="3598" max="3598" width="8.42578125" style="260" customWidth="1"/>
    <col min="3599" max="3599" width="8.28515625" style="260" customWidth="1"/>
    <col min="3600" max="3604" width="9.140625" style="260"/>
    <col min="3605" max="3605" width="7.140625" style="260" customWidth="1"/>
    <col min="3606" max="3840" width="9.140625" style="260"/>
    <col min="3841" max="3841" width="21" style="260" customWidth="1"/>
    <col min="3842" max="3842" width="6.42578125" style="260" customWidth="1"/>
    <col min="3843" max="3843" width="8.140625" style="260" customWidth="1"/>
    <col min="3844" max="3844" width="7.140625" style="260" customWidth="1"/>
    <col min="3845" max="3845" width="8.7109375" style="260" customWidth="1"/>
    <col min="3846" max="3846" width="7.42578125" style="260" customWidth="1"/>
    <col min="3847" max="3847" width="8.5703125" style="260" customWidth="1"/>
    <col min="3848" max="3848" width="7.42578125" style="260" customWidth="1"/>
    <col min="3849" max="3850" width="10.7109375" style="260" customWidth="1"/>
    <col min="3851" max="3852" width="9.140625" style="260"/>
    <col min="3853" max="3853" width="7.85546875" style="260" customWidth="1"/>
    <col min="3854" max="3854" width="8.42578125" style="260" customWidth="1"/>
    <col min="3855" max="3855" width="8.28515625" style="260" customWidth="1"/>
    <col min="3856" max="3860" width="9.140625" style="260"/>
    <col min="3861" max="3861" width="7.140625" style="260" customWidth="1"/>
    <col min="3862" max="4096" width="9.140625" style="260"/>
    <col min="4097" max="4097" width="21" style="260" customWidth="1"/>
    <col min="4098" max="4098" width="6.42578125" style="260" customWidth="1"/>
    <col min="4099" max="4099" width="8.140625" style="260" customWidth="1"/>
    <col min="4100" max="4100" width="7.140625" style="260" customWidth="1"/>
    <col min="4101" max="4101" width="8.7109375" style="260" customWidth="1"/>
    <col min="4102" max="4102" width="7.42578125" style="260" customWidth="1"/>
    <col min="4103" max="4103" width="8.5703125" style="260" customWidth="1"/>
    <col min="4104" max="4104" width="7.42578125" style="260" customWidth="1"/>
    <col min="4105" max="4106" width="10.7109375" style="260" customWidth="1"/>
    <col min="4107" max="4108" width="9.140625" style="260"/>
    <col min="4109" max="4109" width="7.85546875" style="260" customWidth="1"/>
    <col min="4110" max="4110" width="8.42578125" style="260" customWidth="1"/>
    <col min="4111" max="4111" width="8.28515625" style="260" customWidth="1"/>
    <col min="4112" max="4116" width="9.140625" style="260"/>
    <col min="4117" max="4117" width="7.140625" style="260" customWidth="1"/>
    <col min="4118" max="4352" width="9.140625" style="260"/>
    <col min="4353" max="4353" width="21" style="260" customWidth="1"/>
    <col min="4354" max="4354" width="6.42578125" style="260" customWidth="1"/>
    <col min="4355" max="4355" width="8.140625" style="260" customWidth="1"/>
    <col min="4356" max="4356" width="7.140625" style="260" customWidth="1"/>
    <col min="4357" max="4357" width="8.7109375" style="260" customWidth="1"/>
    <col min="4358" max="4358" width="7.42578125" style="260" customWidth="1"/>
    <col min="4359" max="4359" width="8.5703125" style="260" customWidth="1"/>
    <col min="4360" max="4360" width="7.42578125" style="260" customWidth="1"/>
    <col min="4361" max="4362" width="10.7109375" style="260" customWidth="1"/>
    <col min="4363" max="4364" width="9.140625" style="260"/>
    <col min="4365" max="4365" width="7.85546875" style="260" customWidth="1"/>
    <col min="4366" max="4366" width="8.42578125" style="260" customWidth="1"/>
    <col min="4367" max="4367" width="8.28515625" style="260" customWidth="1"/>
    <col min="4368" max="4372" width="9.140625" style="260"/>
    <col min="4373" max="4373" width="7.140625" style="260" customWidth="1"/>
    <col min="4374" max="4608" width="9.140625" style="260"/>
    <col min="4609" max="4609" width="21" style="260" customWidth="1"/>
    <col min="4610" max="4610" width="6.42578125" style="260" customWidth="1"/>
    <col min="4611" max="4611" width="8.140625" style="260" customWidth="1"/>
    <col min="4612" max="4612" width="7.140625" style="260" customWidth="1"/>
    <col min="4613" max="4613" width="8.7109375" style="260" customWidth="1"/>
    <col min="4614" max="4614" width="7.42578125" style="260" customWidth="1"/>
    <col min="4615" max="4615" width="8.5703125" style="260" customWidth="1"/>
    <col min="4616" max="4616" width="7.42578125" style="260" customWidth="1"/>
    <col min="4617" max="4618" width="10.7109375" style="260" customWidth="1"/>
    <col min="4619" max="4620" width="9.140625" style="260"/>
    <col min="4621" max="4621" width="7.85546875" style="260" customWidth="1"/>
    <col min="4622" max="4622" width="8.42578125" style="260" customWidth="1"/>
    <col min="4623" max="4623" width="8.28515625" style="260" customWidth="1"/>
    <col min="4624" max="4628" width="9.140625" style="260"/>
    <col min="4629" max="4629" width="7.140625" style="260" customWidth="1"/>
    <col min="4630" max="4864" width="9.140625" style="260"/>
    <col min="4865" max="4865" width="21" style="260" customWidth="1"/>
    <col min="4866" max="4866" width="6.42578125" style="260" customWidth="1"/>
    <col min="4867" max="4867" width="8.140625" style="260" customWidth="1"/>
    <col min="4868" max="4868" width="7.140625" style="260" customWidth="1"/>
    <col min="4869" max="4869" width="8.7109375" style="260" customWidth="1"/>
    <col min="4870" max="4870" width="7.42578125" style="260" customWidth="1"/>
    <col min="4871" max="4871" width="8.5703125" style="260" customWidth="1"/>
    <col min="4872" max="4872" width="7.42578125" style="260" customWidth="1"/>
    <col min="4873" max="4874" width="10.7109375" style="260" customWidth="1"/>
    <col min="4875" max="4876" width="9.140625" style="260"/>
    <col min="4877" max="4877" width="7.85546875" style="260" customWidth="1"/>
    <col min="4878" max="4878" width="8.42578125" style="260" customWidth="1"/>
    <col min="4879" max="4879" width="8.28515625" style="260" customWidth="1"/>
    <col min="4880" max="4884" width="9.140625" style="260"/>
    <col min="4885" max="4885" width="7.140625" style="260" customWidth="1"/>
    <col min="4886" max="5120" width="9.140625" style="260"/>
    <col min="5121" max="5121" width="21" style="260" customWidth="1"/>
    <col min="5122" max="5122" width="6.42578125" style="260" customWidth="1"/>
    <col min="5123" max="5123" width="8.140625" style="260" customWidth="1"/>
    <col min="5124" max="5124" width="7.140625" style="260" customWidth="1"/>
    <col min="5125" max="5125" width="8.7109375" style="260" customWidth="1"/>
    <col min="5126" max="5126" width="7.42578125" style="260" customWidth="1"/>
    <col min="5127" max="5127" width="8.5703125" style="260" customWidth="1"/>
    <col min="5128" max="5128" width="7.42578125" style="260" customWidth="1"/>
    <col min="5129" max="5130" width="10.7109375" style="260" customWidth="1"/>
    <col min="5131" max="5132" width="9.140625" style="260"/>
    <col min="5133" max="5133" width="7.85546875" style="260" customWidth="1"/>
    <col min="5134" max="5134" width="8.42578125" style="260" customWidth="1"/>
    <col min="5135" max="5135" width="8.28515625" style="260" customWidth="1"/>
    <col min="5136" max="5140" width="9.140625" style="260"/>
    <col min="5141" max="5141" width="7.140625" style="260" customWidth="1"/>
    <col min="5142" max="5376" width="9.140625" style="260"/>
    <col min="5377" max="5377" width="21" style="260" customWidth="1"/>
    <col min="5378" max="5378" width="6.42578125" style="260" customWidth="1"/>
    <col min="5379" max="5379" width="8.140625" style="260" customWidth="1"/>
    <col min="5380" max="5380" width="7.140625" style="260" customWidth="1"/>
    <col min="5381" max="5381" width="8.7109375" style="260" customWidth="1"/>
    <col min="5382" max="5382" width="7.42578125" style="260" customWidth="1"/>
    <col min="5383" max="5383" width="8.5703125" style="260" customWidth="1"/>
    <col min="5384" max="5384" width="7.42578125" style="260" customWidth="1"/>
    <col min="5385" max="5386" width="10.7109375" style="260" customWidth="1"/>
    <col min="5387" max="5388" width="9.140625" style="260"/>
    <col min="5389" max="5389" width="7.85546875" style="260" customWidth="1"/>
    <col min="5390" max="5390" width="8.42578125" style="260" customWidth="1"/>
    <col min="5391" max="5391" width="8.28515625" style="260" customWidth="1"/>
    <col min="5392" max="5396" width="9.140625" style="260"/>
    <col min="5397" max="5397" width="7.140625" style="260" customWidth="1"/>
    <col min="5398" max="5632" width="9.140625" style="260"/>
    <col min="5633" max="5633" width="21" style="260" customWidth="1"/>
    <col min="5634" max="5634" width="6.42578125" style="260" customWidth="1"/>
    <col min="5635" max="5635" width="8.140625" style="260" customWidth="1"/>
    <col min="5636" max="5636" width="7.140625" style="260" customWidth="1"/>
    <col min="5637" max="5637" width="8.7109375" style="260" customWidth="1"/>
    <col min="5638" max="5638" width="7.42578125" style="260" customWidth="1"/>
    <col min="5639" max="5639" width="8.5703125" style="260" customWidth="1"/>
    <col min="5640" max="5640" width="7.42578125" style="260" customWidth="1"/>
    <col min="5641" max="5642" width="10.7109375" style="260" customWidth="1"/>
    <col min="5643" max="5644" width="9.140625" style="260"/>
    <col min="5645" max="5645" width="7.85546875" style="260" customWidth="1"/>
    <col min="5646" max="5646" width="8.42578125" style="260" customWidth="1"/>
    <col min="5647" max="5647" width="8.28515625" style="260" customWidth="1"/>
    <col min="5648" max="5652" width="9.140625" style="260"/>
    <col min="5653" max="5653" width="7.140625" style="260" customWidth="1"/>
    <col min="5654" max="5888" width="9.140625" style="260"/>
    <col min="5889" max="5889" width="21" style="260" customWidth="1"/>
    <col min="5890" max="5890" width="6.42578125" style="260" customWidth="1"/>
    <col min="5891" max="5891" width="8.140625" style="260" customWidth="1"/>
    <col min="5892" max="5892" width="7.140625" style="260" customWidth="1"/>
    <col min="5893" max="5893" width="8.7109375" style="260" customWidth="1"/>
    <col min="5894" max="5894" width="7.42578125" style="260" customWidth="1"/>
    <col min="5895" max="5895" width="8.5703125" style="260" customWidth="1"/>
    <col min="5896" max="5896" width="7.42578125" style="260" customWidth="1"/>
    <col min="5897" max="5898" width="10.7109375" style="260" customWidth="1"/>
    <col min="5899" max="5900" width="9.140625" style="260"/>
    <col min="5901" max="5901" width="7.85546875" style="260" customWidth="1"/>
    <col min="5902" max="5902" width="8.42578125" style="260" customWidth="1"/>
    <col min="5903" max="5903" width="8.28515625" style="260" customWidth="1"/>
    <col min="5904" max="5908" width="9.140625" style="260"/>
    <col min="5909" max="5909" width="7.140625" style="260" customWidth="1"/>
    <col min="5910" max="6144" width="9.140625" style="260"/>
    <col min="6145" max="6145" width="21" style="260" customWidth="1"/>
    <col min="6146" max="6146" width="6.42578125" style="260" customWidth="1"/>
    <col min="6147" max="6147" width="8.140625" style="260" customWidth="1"/>
    <col min="6148" max="6148" width="7.140625" style="260" customWidth="1"/>
    <col min="6149" max="6149" width="8.7109375" style="260" customWidth="1"/>
    <col min="6150" max="6150" width="7.42578125" style="260" customWidth="1"/>
    <col min="6151" max="6151" width="8.5703125" style="260" customWidth="1"/>
    <col min="6152" max="6152" width="7.42578125" style="260" customWidth="1"/>
    <col min="6153" max="6154" width="10.7109375" style="260" customWidth="1"/>
    <col min="6155" max="6156" width="9.140625" style="260"/>
    <col min="6157" max="6157" width="7.85546875" style="260" customWidth="1"/>
    <col min="6158" max="6158" width="8.42578125" style="260" customWidth="1"/>
    <col min="6159" max="6159" width="8.28515625" style="260" customWidth="1"/>
    <col min="6160" max="6164" width="9.140625" style="260"/>
    <col min="6165" max="6165" width="7.140625" style="260" customWidth="1"/>
    <col min="6166" max="6400" width="9.140625" style="260"/>
    <col min="6401" max="6401" width="21" style="260" customWidth="1"/>
    <col min="6402" max="6402" width="6.42578125" style="260" customWidth="1"/>
    <col min="6403" max="6403" width="8.140625" style="260" customWidth="1"/>
    <col min="6404" max="6404" width="7.140625" style="260" customWidth="1"/>
    <col min="6405" max="6405" width="8.7109375" style="260" customWidth="1"/>
    <col min="6406" max="6406" width="7.42578125" style="260" customWidth="1"/>
    <col min="6407" max="6407" width="8.5703125" style="260" customWidth="1"/>
    <col min="6408" max="6408" width="7.42578125" style="260" customWidth="1"/>
    <col min="6409" max="6410" width="10.7109375" style="260" customWidth="1"/>
    <col min="6411" max="6412" width="9.140625" style="260"/>
    <col min="6413" max="6413" width="7.85546875" style="260" customWidth="1"/>
    <col min="6414" max="6414" width="8.42578125" style="260" customWidth="1"/>
    <col min="6415" max="6415" width="8.28515625" style="260" customWidth="1"/>
    <col min="6416" max="6420" width="9.140625" style="260"/>
    <col min="6421" max="6421" width="7.140625" style="260" customWidth="1"/>
    <col min="6422" max="6656" width="9.140625" style="260"/>
    <col min="6657" max="6657" width="21" style="260" customWidth="1"/>
    <col min="6658" max="6658" width="6.42578125" style="260" customWidth="1"/>
    <col min="6659" max="6659" width="8.140625" style="260" customWidth="1"/>
    <col min="6660" max="6660" width="7.140625" style="260" customWidth="1"/>
    <col min="6661" max="6661" width="8.7109375" style="260" customWidth="1"/>
    <col min="6662" max="6662" width="7.42578125" style="260" customWidth="1"/>
    <col min="6663" max="6663" width="8.5703125" style="260" customWidth="1"/>
    <col min="6664" max="6664" width="7.42578125" style="260" customWidth="1"/>
    <col min="6665" max="6666" width="10.7109375" style="260" customWidth="1"/>
    <col min="6667" max="6668" width="9.140625" style="260"/>
    <col min="6669" max="6669" width="7.85546875" style="260" customWidth="1"/>
    <col min="6670" max="6670" width="8.42578125" style="260" customWidth="1"/>
    <col min="6671" max="6671" width="8.28515625" style="260" customWidth="1"/>
    <col min="6672" max="6676" width="9.140625" style="260"/>
    <col min="6677" max="6677" width="7.140625" style="260" customWidth="1"/>
    <col min="6678" max="6912" width="9.140625" style="260"/>
    <col min="6913" max="6913" width="21" style="260" customWidth="1"/>
    <col min="6914" max="6914" width="6.42578125" style="260" customWidth="1"/>
    <col min="6915" max="6915" width="8.140625" style="260" customWidth="1"/>
    <col min="6916" max="6916" width="7.140625" style="260" customWidth="1"/>
    <col min="6917" max="6917" width="8.7109375" style="260" customWidth="1"/>
    <col min="6918" max="6918" width="7.42578125" style="260" customWidth="1"/>
    <col min="6919" max="6919" width="8.5703125" style="260" customWidth="1"/>
    <col min="6920" max="6920" width="7.42578125" style="260" customWidth="1"/>
    <col min="6921" max="6922" width="10.7109375" style="260" customWidth="1"/>
    <col min="6923" max="6924" width="9.140625" style="260"/>
    <col min="6925" max="6925" width="7.85546875" style="260" customWidth="1"/>
    <col min="6926" max="6926" width="8.42578125" style="260" customWidth="1"/>
    <col min="6927" max="6927" width="8.28515625" style="260" customWidth="1"/>
    <col min="6928" max="6932" width="9.140625" style="260"/>
    <col min="6933" max="6933" width="7.140625" style="260" customWidth="1"/>
    <col min="6934" max="7168" width="9.140625" style="260"/>
    <col min="7169" max="7169" width="21" style="260" customWidth="1"/>
    <col min="7170" max="7170" width="6.42578125" style="260" customWidth="1"/>
    <col min="7171" max="7171" width="8.140625" style="260" customWidth="1"/>
    <col min="7172" max="7172" width="7.140625" style="260" customWidth="1"/>
    <col min="7173" max="7173" width="8.7109375" style="260" customWidth="1"/>
    <col min="7174" max="7174" width="7.42578125" style="260" customWidth="1"/>
    <col min="7175" max="7175" width="8.5703125" style="260" customWidth="1"/>
    <col min="7176" max="7176" width="7.42578125" style="260" customWidth="1"/>
    <col min="7177" max="7178" width="10.7109375" style="260" customWidth="1"/>
    <col min="7179" max="7180" width="9.140625" style="260"/>
    <col min="7181" max="7181" width="7.85546875" style="260" customWidth="1"/>
    <col min="7182" max="7182" width="8.42578125" style="260" customWidth="1"/>
    <col min="7183" max="7183" width="8.28515625" style="260" customWidth="1"/>
    <col min="7184" max="7188" width="9.140625" style="260"/>
    <col min="7189" max="7189" width="7.140625" style="260" customWidth="1"/>
    <col min="7190" max="7424" width="9.140625" style="260"/>
    <col min="7425" max="7425" width="21" style="260" customWidth="1"/>
    <col min="7426" max="7426" width="6.42578125" style="260" customWidth="1"/>
    <col min="7427" max="7427" width="8.140625" style="260" customWidth="1"/>
    <col min="7428" max="7428" width="7.140625" style="260" customWidth="1"/>
    <col min="7429" max="7429" width="8.7109375" style="260" customWidth="1"/>
    <col min="7430" max="7430" width="7.42578125" style="260" customWidth="1"/>
    <col min="7431" max="7431" width="8.5703125" style="260" customWidth="1"/>
    <col min="7432" max="7432" width="7.42578125" style="260" customWidth="1"/>
    <col min="7433" max="7434" width="10.7109375" style="260" customWidth="1"/>
    <col min="7435" max="7436" width="9.140625" style="260"/>
    <col min="7437" max="7437" width="7.85546875" style="260" customWidth="1"/>
    <col min="7438" max="7438" width="8.42578125" style="260" customWidth="1"/>
    <col min="7439" max="7439" width="8.28515625" style="260" customWidth="1"/>
    <col min="7440" max="7444" width="9.140625" style="260"/>
    <col min="7445" max="7445" width="7.140625" style="260" customWidth="1"/>
    <col min="7446" max="7680" width="9.140625" style="260"/>
    <col min="7681" max="7681" width="21" style="260" customWidth="1"/>
    <col min="7682" max="7682" width="6.42578125" style="260" customWidth="1"/>
    <col min="7683" max="7683" width="8.140625" style="260" customWidth="1"/>
    <col min="7684" max="7684" width="7.140625" style="260" customWidth="1"/>
    <col min="7685" max="7685" width="8.7109375" style="260" customWidth="1"/>
    <col min="7686" max="7686" width="7.42578125" style="260" customWidth="1"/>
    <col min="7687" max="7687" width="8.5703125" style="260" customWidth="1"/>
    <col min="7688" max="7688" width="7.42578125" style="260" customWidth="1"/>
    <col min="7689" max="7690" width="10.7109375" style="260" customWidth="1"/>
    <col min="7691" max="7692" width="9.140625" style="260"/>
    <col min="7693" max="7693" width="7.85546875" style="260" customWidth="1"/>
    <col min="7694" max="7694" width="8.42578125" style="260" customWidth="1"/>
    <col min="7695" max="7695" width="8.28515625" style="260" customWidth="1"/>
    <col min="7696" max="7700" width="9.140625" style="260"/>
    <col min="7701" max="7701" width="7.140625" style="260" customWidth="1"/>
    <col min="7702" max="7936" width="9.140625" style="260"/>
    <col min="7937" max="7937" width="21" style="260" customWidth="1"/>
    <col min="7938" max="7938" width="6.42578125" style="260" customWidth="1"/>
    <col min="7939" max="7939" width="8.140625" style="260" customWidth="1"/>
    <col min="7940" max="7940" width="7.140625" style="260" customWidth="1"/>
    <col min="7941" max="7941" width="8.7109375" style="260" customWidth="1"/>
    <col min="7942" max="7942" width="7.42578125" style="260" customWidth="1"/>
    <col min="7943" max="7943" width="8.5703125" style="260" customWidth="1"/>
    <col min="7944" max="7944" width="7.42578125" style="260" customWidth="1"/>
    <col min="7945" max="7946" width="10.7109375" style="260" customWidth="1"/>
    <col min="7947" max="7948" width="9.140625" style="260"/>
    <col min="7949" max="7949" width="7.85546875" style="260" customWidth="1"/>
    <col min="7950" max="7950" width="8.42578125" style="260" customWidth="1"/>
    <col min="7951" max="7951" width="8.28515625" style="260" customWidth="1"/>
    <col min="7952" max="7956" width="9.140625" style="260"/>
    <col min="7957" max="7957" width="7.140625" style="260" customWidth="1"/>
    <col min="7958" max="8192" width="9.140625" style="260"/>
    <col min="8193" max="8193" width="21" style="260" customWidth="1"/>
    <col min="8194" max="8194" width="6.42578125" style="260" customWidth="1"/>
    <col min="8195" max="8195" width="8.140625" style="260" customWidth="1"/>
    <col min="8196" max="8196" width="7.140625" style="260" customWidth="1"/>
    <col min="8197" max="8197" width="8.7109375" style="260" customWidth="1"/>
    <col min="8198" max="8198" width="7.42578125" style="260" customWidth="1"/>
    <col min="8199" max="8199" width="8.5703125" style="260" customWidth="1"/>
    <col min="8200" max="8200" width="7.42578125" style="260" customWidth="1"/>
    <col min="8201" max="8202" width="10.7109375" style="260" customWidth="1"/>
    <col min="8203" max="8204" width="9.140625" style="260"/>
    <col min="8205" max="8205" width="7.85546875" style="260" customWidth="1"/>
    <col min="8206" max="8206" width="8.42578125" style="260" customWidth="1"/>
    <col min="8207" max="8207" width="8.28515625" style="260" customWidth="1"/>
    <col min="8208" max="8212" width="9.140625" style="260"/>
    <col min="8213" max="8213" width="7.140625" style="260" customWidth="1"/>
    <col min="8214" max="8448" width="9.140625" style="260"/>
    <col min="8449" max="8449" width="21" style="260" customWidth="1"/>
    <col min="8450" max="8450" width="6.42578125" style="260" customWidth="1"/>
    <col min="8451" max="8451" width="8.140625" style="260" customWidth="1"/>
    <col min="8452" max="8452" width="7.140625" style="260" customWidth="1"/>
    <col min="8453" max="8453" width="8.7109375" style="260" customWidth="1"/>
    <col min="8454" max="8454" width="7.42578125" style="260" customWidth="1"/>
    <col min="8455" max="8455" width="8.5703125" style="260" customWidth="1"/>
    <col min="8456" max="8456" width="7.42578125" style="260" customWidth="1"/>
    <col min="8457" max="8458" width="10.7109375" style="260" customWidth="1"/>
    <col min="8459" max="8460" width="9.140625" style="260"/>
    <col min="8461" max="8461" width="7.85546875" style="260" customWidth="1"/>
    <col min="8462" max="8462" width="8.42578125" style="260" customWidth="1"/>
    <col min="8463" max="8463" width="8.28515625" style="260" customWidth="1"/>
    <col min="8464" max="8468" width="9.140625" style="260"/>
    <col min="8469" max="8469" width="7.140625" style="260" customWidth="1"/>
    <col min="8470" max="8704" width="9.140625" style="260"/>
    <col min="8705" max="8705" width="21" style="260" customWidth="1"/>
    <col min="8706" max="8706" width="6.42578125" style="260" customWidth="1"/>
    <col min="8707" max="8707" width="8.140625" style="260" customWidth="1"/>
    <col min="8708" max="8708" width="7.140625" style="260" customWidth="1"/>
    <col min="8709" max="8709" width="8.7109375" style="260" customWidth="1"/>
    <col min="8710" max="8710" width="7.42578125" style="260" customWidth="1"/>
    <col min="8711" max="8711" width="8.5703125" style="260" customWidth="1"/>
    <col min="8712" max="8712" width="7.42578125" style="260" customWidth="1"/>
    <col min="8713" max="8714" width="10.7109375" style="260" customWidth="1"/>
    <col min="8715" max="8716" width="9.140625" style="260"/>
    <col min="8717" max="8717" width="7.85546875" style="260" customWidth="1"/>
    <col min="8718" max="8718" width="8.42578125" style="260" customWidth="1"/>
    <col min="8719" max="8719" width="8.28515625" style="260" customWidth="1"/>
    <col min="8720" max="8724" width="9.140625" style="260"/>
    <col min="8725" max="8725" width="7.140625" style="260" customWidth="1"/>
    <col min="8726" max="8960" width="9.140625" style="260"/>
    <col min="8961" max="8961" width="21" style="260" customWidth="1"/>
    <col min="8962" max="8962" width="6.42578125" style="260" customWidth="1"/>
    <col min="8963" max="8963" width="8.140625" style="260" customWidth="1"/>
    <col min="8964" max="8964" width="7.140625" style="260" customWidth="1"/>
    <col min="8965" max="8965" width="8.7109375" style="260" customWidth="1"/>
    <col min="8966" max="8966" width="7.42578125" style="260" customWidth="1"/>
    <col min="8967" max="8967" width="8.5703125" style="260" customWidth="1"/>
    <col min="8968" max="8968" width="7.42578125" style="260" customWidth="1"/>
    <col min="8969" max="8970" width="10.7109375" style="260" customWidth="1"/>
    <col min="8971" max="8972" width="9.140625" style="260"/>
    <col min="8973" max="8973" width="7.85546875" style="260" customWidth="1"/>
    <col min="8974" max="8974" width="8.42578125" style="260" customWidth="1"/>
    <col min="8975" max="8975" width="8.28515625" style="260" customWidth="1"/>
    <col min="8976" max="8980" width="9.140625" style="260"/>
    <col min="8981" max="8981" width="7.140625" style="260" customWidth="1"/>
    <col min="8982" max="9216" width="9.140625" style="260"/>
    <col min="9217" max="9217" width="21" style="260" customWidth="1"/>
    <col min="9218" max="9218" width="6.42578125" style="260" customWidth="1"/>
    <col min="9219" max="9219" width="8.140625" style="260" customWidth="1"/>
    <col min="9220" max="9220" width="7.140625" style="260" customWidth="1"/>
    <col min="9221" max="9221" width="8.7109375" style="260" customWidth="1"/>
    <col min="9222" max="9222" width="7.42578125" style="260" customWidth="1"/>
    <col min="9223" max="9223" width="8.5703125" style="260" customWidth="1"/>
    <col min="9224" max="9224" width="7.42578125" style="260" customWidth="1"/>
    <col min="9225" max="9226" width="10.7109375" style="260" customWidth="1"/>
    <col min="9227" max="9228" width="9.140625" style="260"/>
    <col min="9229" max="9229" width="7.85546875" style="260" customWidth="1"/>
    <col min="9230" max="9230" width="8.42578125" style="260" customWidth="1"/>
    <col min="9231" max="9231" width="8.28515625" style="260" customWidth="1"/>
    <col min="9232" max="9236" width="9.140625" style="260"/>
    <col min="9237" max="9237" width="7.140625" style="260" customWidth="1"/>
    <col min="9238" max="9472" width="9.140625" style="260"/>
    <col min="9473" max="9473" width="21" style="260" customWidth="1"/>
    <col min="9474" max="9474" width="6.42578125" style="260" customWidth="1"/>
    <col min="9475" max="9475" width="8.140625" style="260" customWidth="1"/>
    <col min="9476" max="9476" width="7.140625" style="260" customWidth="1"/>
    <col min="9477" max="9477" width="8.7109375" style="260" customWidth="1"/>
    <col min="9478" max="9478" width="7.42578125" style="260" customWidth="1"/>
    <col min="9479" max="9479" width="8.5703125" style="260" customWidth="1"/>
    <col min="9480" max="9480" width="7.42578125" style="260" customWidth="1"/>
    <col min="9481" max="9482" width="10.7109375" style="260" customWidth="1"/>
    <col min="9483" max="9484" width="9.140625" style="260"/>
    <col min="9485" max="9485" width="7.85546875" style="260" customWidth="1"/>
    <col min="9486" max="9486" width="8.42578125" style="260" customWidth="1"/>
    <col min="9487" max="9487" width="8.28515625" style="260" customWidth="1"/>
    <col min="9488" max="9492" width="9.140625" style="260"/>
    <col min="9493" max="9493" width="7.140625" style="260" customWidth="1"/>
    <col min="9494" max="9728" width="9.140625" style="260"/>
    <col min="9729" max="9729" width="21" style="260" customWidth="1"/>
    <col min="9730" max="9730" width="6.42578125" style="260" customWidth="1"/>
    <col min="9731" max="9731" width="8.140625" style="260" customWidth="1"/>
    <col min="9732" max="9732" width="7.140625" style="260" customWidth="1"/>
    <col min="9733" max="9733" width="8.7109375" style="260" customWidth="1"/>
    <col min="9734" max="9734" width="7.42578125" style="260" customWidth="1"/>
    <col min="9735" max="9735" width="8.5703125" style="260" customWidth="1"/>
    <col min="9736" max="9736" width="7.42578125" style="260" customWidth="1"/>
    <col min="9737" max="9738" width="10.7109375" style="260" customWidth="1"/>
    <col min="9739" max="9740" width="9.140625" style="260"/>
    <col min="9741" max="9741" width="7.85546875" style="260" customWidth="1"/>
    <col min="9742" max="9742" width="8.42578125" style="260" customWidth="1"/>
    <col min="9743" max="9743" width="8.28515625" style="260" customWidth="1"/>
    <col min="9744" max="9748" width="9.140625" style="260"/>
    <col min="9749" max="9749" width="7.140625" style="260" customWidth="1"/>
    <col min="9750" max="9984" width="9.140625" style="260"/>
    <col min="9985" max="9985" width="21" style="260" customWidth="1"/>
    <col min="9986" max="9986" width="6.42578125" style="260" customWidth="1"/>
    <col min="9987" max="9987" width="8.140625" style="260" customWidth="1"/>
    <col min="9988" max="9988" width="7.140625" style="260" customWidth="1"/>
    <col min="9989" max="9989" width="8.7109375" style="260" customWidth="1"/>
    <col min="9990" max="9990" width="7.42578125" style="260" customWidth="1"/>
    <col min="9991" max="9991" width="8.5703125" style="260" customWidth="1"/>
    <col min="9992" max="9992" width="7.42578125" style="260" customWidth="1"/>
    <col min="9993" max="9994" width="10.7109375" style="260" customWidth="1"/>
    <col min="9995" max="9996" width="9.140625" style="260"/>
    <col min="9997" max="9997" width="7.85546875" style="260" customWidth="1"/>
    <col min="9998" max="9998" width="8.42578125" style="260" customWidth="1"/>
    <col min="9999" max="9999" width="8.28515625" style="260" customWidth="1"/>
    <col min="10000" max="10004" width="9.140625" style="260"/>
    <col min="10005" max="10005" width="7.140625" style="260" customWidth="1"/>
    <col min="10006" max="10240" width="9.140625" style="260"/>
    <col min="10241" max="10241" width="21" style="260" customWidth="1"/>
    <col min="10242" max="10242" width="6.42578125" style="260" customWidth="1"/>
    <col min="10243" max="10243" width="8.140625" style="260" customWidth="1"/>
    <col min="10244" max="10244" width="7.140625" style="260" customWidth="1"/>
    <col min="10245" max="10245" width="8.7109375" style="260" customWidth="1"/>
    <col min="10246" max="10246" width="7.42578125" style="260" customWidth="1"/>
    <col min="10247" max="10247" width="8.5703125" style="260" customWidth="1"/>
    <col min="10248" max="10248" width="7.42578125" style="260" customWidth="1"/>
    <col min="10249" max="10250" width="10.7109375" style="260" customWidth="1"/>
    <col min="10251" max="10252" width="9.140625" style="260"/>
    <col min="10253" max="10253" width="7.85546875" style="260" customWidth="1"/>
    <col min="10254" max="10254" width="8.42578125" style="260" customWidth="1"/>
    <col min="10255" max="10255" width="8.28515625" style="260" customWidth="1"/>
    <col min="10256" max="10260" width="9.140625" style="260"/>
    <col min="10261" max="10261" width="7.140625" style="260" customWidth="1"/>
    <col min="10262" max="10496" width="9.140625" style="260"/>
    <col min="10497" max="10497" width="21" style="260" customWidth="1"/>
    <col min="10498" max="10498" width="6.42578125" style="260" customWidth="1"/>
    <col min="10499" max="10499" width="8.140625" style="260" customWidth="1"/>
    <col min="10500" max="10500" width="7.140625" style="260" customWidth="1"/>
    <col min="10501" max="10501" width="8.7109375" style="260" customWidth="1"/>
    <col min="10502" max="10502" width="7.42578125" style="260" customWidth="1"/>
    <col min="10503" max="10503" width="8.5703125" style="260" customWidth="1"/>
    <col min="10504" max="10504" width="7.42578125" style="260" customWidth="1"/>
    <col min="10505" max="10506" width="10.7109375" style="260" customWidth="1"/>
    <col min="10507" max="10508" width="9.140625" style="260"/>
    <col min="10509" max="10509" width="7.85546875" style="260" customWidth="1"/>
    <col min="10510" max="10510" width="8.42578125" style="260" customWidth="1"/>
    <col min="10511" max="10511" width="8.28515625" style="260" customWidth="1"/>
    <col min="10512" max="10516" width="9.140625" style="260"/>
    <col min="10517" max="10517" width="7.140625" style="260" customWidth="1"/>
    <col min="10518" max="10752" width="9.140625" style="260"/>
    <col min="10753" max="10753" width="21" style="260" customWidth="1"/>
    <col min="10754" max="10754" width="6.42578125" style="260" customWidth="1"/>
    <col min="10755" max="10755" width="8.140625" style="260" customWidth="1"/>
    <col min="10756" max="10756" width="7.140625" style="260" customWidth="1"/>
    <col min="10757" max="10757" width="8.7109375" style="260" customWidth="1"/>
    <col min="10758" max="10758" width="7.42578125" style="260" customWidth="1"/>
    <col min="10759" max="10759" width="8.5703125" style="260" customWidth="1"/>
    <col min="10760" max="10760" width="7.42578125" style="260" customWidth="1"/>
    <col min="10761" max="10762" width="10.7109375" style="260" customWidth="1"/>
    <col min="10763" max="10764" width="9.140625" style="260"/>
    <col min="10765" max="10765" width="7.85546875" style="260" customWidth="1"/>
    <col min="10766" max="10766" width="8.42578125" style="260" customWidth="1"/>
    <col min="10767" max="10767" width="8.28515625" style="260" customWidth="1"/>
    <col min="10768" max="10772" width="9.140625" style="260"/>
    <col min="10773" max="10773" width="7.140625" style="260" customWidth="1"/>
    <col min="10774" max="11008" width="9.140625" style="260"/>
    <col min="11009" max="11009" width="21" style="260" customWidth="1"/>
    <col min="11010" max="11010" width="6.42578125" style="260" customWidth="1"/>
    <col min="11011" max="11011" width="8.140625" style="260" customWidth="1"/>
    <col min="11012" max="11012" width="7.140625" style="260" customWidth="1"/>
    <col min="11013" max="11013" width="8.7109375" style="260" customWidth="1"/>
    <col min="11014" max="11014" width="7.42578125" style="260" customWidth="1"/>
    <col min="11015" max="11015" width="8.5703125" style="260" customWidth="1"/>
    <col min="11016" max="11016" width="7.42578125" style="260" customWidth="1"/>
    <col min="11017" max="11018" width="10.7109375" style="260" customWidth="1"/>
    <col min="11019" max="11020" width="9.140625" style="260"/>
    <col min="11021" max="11021" width="7.85546875" style="260" customWidth="1"/>
    <col min="11022" max="11022" width="8.42578125" style="260" customWidth="1"/>
    <col min="11023" max="11023" width="8.28515625" style="260" customWidth="1"/>
    <col min="11024" max="11028" width="9.140625" style="260"/>
    <col min="11029" max="11029" width="7.140625" style="260" customWidth="1"/>
    <col min="11030" max="11264" width="9.140625" style="260"/>
    <col min="11265" max="11265" width="21" style="260" customWidth="1"/>
    <col min="11266" max="11266" width="6.42578125" style="260" customWidth="1"/>
    <col min="11267" max="11267" width="8.140625" style="260" customWidth="1"/>
    <col min="11268" max="11268" width="7.140625" style="260" customWidth="1"/>
    <col min="11269" max="11269" width="8.7109375" style="260" customWidth="1"/>
    <col min="11270" max="11270" width="7.42578125" style="260" customWidth="1"/>
    <col min="11271" max="11271" width="8.5703125" style="260" customWidth="1"/>
    <col min="11272" max="11272" width="7.42578125" style="260" customWidth="1"/>
    <col min="11273" max="11274" width="10.7109375" style="260" customWidth="1"/>
    <col min="11275" max="11276" width="9.140625" style="260"/>
    <col min="11277" max="11277" width="7.85546875" style="260" customWidth="1"/>
    <col min="11278" max="11278" width="8.42578125" style="260" customWidth="1"/>
    <col min="11279" max="11279" width="8.28515625" style="260" customWidth="1"/>
    <col min="11280" max="11284" width="9.140625" style="260"/>
    <col min="11285" max="11285" width="7.140625" style="260" customWidth="1"/>
    <col min="11286" max="11520" width="9.140625" style="260"/>
    <col min="11521" max="11521" width="21" style="260" customWidth="1"/>
    <col min="11522" max="11522" width="6.42578125" style="260" customWidth="1"/>
    <col min="11523" max="11523" width="8.140625" style="260" customWidth="1"/>
    <col min="11524" max="11524" width="7.140625" style="260" customWidth="1"/>
    <col min="11525" max="11525" width="8.7109375" style="260" customWidth="1"/>
    <col min="11526" max="11526" width="7.42578125" style="260" customWidth="1"/>
    <col min="11527" max="11527" width="8.5703125" style="260" customWidth="1"/>
    <col min="11528" max="11528" width="7.42578125" style="260" customWidth="1"/>
    <col min="11529" max="11530" width="10.7109375" style="260" customWidth="1"/>
    <col min="11531" max="11532" width="9.140625" style="260"/>
    <col min="11533" max="11533" width="7.85546875" style="260" customWidth="1"/>
    <col min="11534" max="11534" width="8.42578125" style="260" customWidth="1"/>
    <col min="11535" max="11535" width="8.28515625" style="260" customWidth="1"/>
    <col min="11536" max="11540" width="9.140625" style="260"/>
    <col min="11541" max="11541" width="7.140625" style="260" customWidth="1"/>
    <col min="11542" max="11776" width="9.140625" style="260"/>
    <col min="11777" max="11777" width="21" style="260" customWidth="1"/>
    <col min="11778" max="11778" width="6.42578125" style="260" customWidth="1"/>
    <col min="11779" max="11779" width="8.140625" style="260" customWidth="1"/>
    <col min="11780" max="11780" width="7.140625" style="260" customWidth="1"/>
    <col min="11781" max="11781" width="8.7109375" style="260" customWidth="1"/>
    <col min="11782" max="11782" width="7.42578125" style="260" customWidth="1"/>
    <col min="11783" max="11783" width="8.5703125" style="260" customWidth="1"/>
    <col min="11784" max="11784" width="7.42578125" style="260" customWidth="1"/>
    <col min="11785" max="11786" width="10.7109375" style="260" customWidth="1"/>
    <col min="11787" max="11788" width="9.140625" style="260"/>
    <col min="11789" max="11789" width="7.85546875" style="260" customWidth="1"/>
    <col min="11790" max="11790" width="8.42578125" style="260" customWidth="1"/>
    <col min="11791" max="11791" width="8.28515625" style="260" customWidth="1"/>
    <col min="11792" max="11796" width="9.140625" style="260"/>
    <col min="11797" max="11797" width="7.140625" style="260" customWidth="1"/>
    <col min="11798" max="12032" width="9.140625" style="260"/>
    <col min="12033" max="12033" width="21" style="260" customWidth="1"/>
    <col min="12034" max="12034" width="6.42578125" style="260" customWidth="1"/>
    <col min="12035" max="12035" width="8.140625" style="260" customWidth="1"/>
    <col min="12036" max="12036" width="7.140625" style="260" customWidth="1"/>
    <col min="12037" max="12037" width="8.7109375" style="260" customWidth="1"/>
    <col min="12038" max="12038" width="7.42578125" style="260" customWidth="1"/>
    <col min="12039" max="12039" width="8.5703125" style="260" customWidth="1"/>
    <col min="12040" max="12040" width="7.42578125" style="260" customWidth="1"/>
    <col min="12041" max="12042" width="10.7109375" style="260" customWidth="1"/>
    <col min="12043" max="12044" width="9.140625" style="260"/>
    <col min="12045" max="12045" width="7.85546875" style="260" customWidth="1"/>
    <col min="12046" max="12046" width="8.42578125" style="260" customWidth="1"/>
    <col min="12047" max="12047" width="8.28515625" style="260" customWidth="1"/>
    <col min="12048" max="12052" width="9.140625" style="260"/>
    <col min="12053" max="12053" width="7.140625" style="260" customWidth="1"/>
    <col min="12054" max="12288" width="9.140625" style="260"/>
    <col min="12289" max="12289" width="21" style="260" customWidth="1"/>
    <col min="12290" max="12290" width="6.42578125" style="260" customWidth="1"/>
    <col min="12291" max="12291" width="8.140625" style="260" customWidth="1"/>
    <col min="12292" max="12292" width="7.140625" style="260" customWidth="1"/>
    <col min="12293" max="12293" width="8.7109375" style="260" customWidth="1"/>
    <col min="12294" max="12294" width="7.42578125" style="260" customWidth="1"/>
    <col min="12295" max="12295" width="8.5703125" style="260" customWidth="1"/>
    <col min="12296" max="12296" width="7.42578125" style="260" customWidth="1"/>
    <col min="12297" max="12298" width="10.7109375" style="260" customWidth="1"/>
    <col min="12299" max="12300" width="9.140625" style="260"/>
    <col min="12301" max="12301" width="7.85546875" style="260" customWidth="1"/>
    <col min="12302" max="12302" width="8.42578125" style="260" customWidth="1"/>
    <col min="12303" max="12303" width="8.28515625" style="260" customWidth="1"/>
    <col min="12304" max="12308" width="9.140625" style="260"/>
    <col min="12309" max="12309" width="7.140625" style="260" customWidth="1"/>
    <col min="12310" max="12544" width="9.140625" style="260"/>
    <col min="12545" max="12545" width="21" style="260" customWidth="1"/>
    <col min="12546" max="12546" width="6.42578125" style="260" customWidth="1"/>
    <col min="12547" max="12547" width="8.140625" style="260" customWidth="1"/>
    <col min="12548" max="12548" width="7.140625" style="260" customWidth="1"/>
    <col min="12549" max="12549" width="8.7109375" style="260" customWidth="1"/>
    <col min="12550" max="12550" width="7.42578125" style="260" customWidth="1"/>
    <col min="12551" max="12551" width="8.5703125" style="260" customWidth="1"/>
    <col min="12552" max="12552" width="7.42578125" style="260" customWidth="1"/>
    <col min="12553" max="12554" width="10.7109375" style="260" customWidth="1"/>
    <col min="12555" max="12556" width="9.140625" style="260"/>
    <col min="12557" max="12557" width="7.85546875" style="260" customWidth="1"/>
    <col min="12558" max="12558" width="8.42578125" style="260" customWidth="1"/>
    <col min="12559" max="12559" width="8.28515625" style="260" customWidth="1"/>
    <col min="12560" max="12564" width="9.140625" style="260"/>
    <col min="12565" max="12565" width="7.140625" style="260" customWidth="1"/>
    <col min="12566" max="12800" width="9.140625" style="260"/>
    <col min="12801" max="12801" width="21" style="260" customWidth="1"/>
    <col min="12802" max="12802" width="6.42578125" style="260" customWidth="1"/>
    <col min="12803" max="12803" width="8.140625" style="260" customWidth="1"/>
    <col min="12804" max="12804" width="7.140625" style="260" customWidth="1"/>
    <col min="12805" max="12805" width="8.7109375" style="260" customWidth="1"/>
    <col min="12806" max="12806" width="7.42578125" style="260" customWidth="1"/>
    <col min="12807" max="12807" width="8.5703125" style="260" customWidth="1"/>
    <col min="12808" max="12808" width="7.42578125" style="260" customWidth="1"/>
    <col min="12809" max="12810" width="10.7109375" style="260" customWidth="1"/>
    <col min="12811" max="12812" width="9.140625" style="260"/>
    <col min="12813" max="12813" width="7.85546875" style="260" customWidth="1"/>
    <col min="12814" max="12814" width="8.42578125" style="260" customWidth="1"/>
    <col min="12815" max="12815" width="8.28515625" style="260" customWidth="1"/>
    <col min="12816" max="12820" width="9.140625" style="260"/>
    <col min="12821" max="12821" width="7.140625" style="260" customWidth="1"/>
    <col min="12822" max="13056" width="9.140625" style="260"/>
    <col min="13057" max="13057" width="21" style="260" customWidth="1"/>
    <col min="13058" max="13058" width="6.42578125" style="260" customWidth="1"/>
    <col min="13059" max="13059" width="8.140625" style="260" customWidth="1"/>
    <col min="13060" max="13060" width="7.140625" style="260" customWidth="1"/>
    <col min="13061" max="13061" width="8.7109375" style="260" customWidth="1"/>
    <col min="13062" max="13062" width="7.42578125" style="260" customWidth="1"/>
    <col min="13063" max="13063" width="8.5703125" style="260" customWidth="1"/>
    <col min="13064" max="13064" width="7.42578125" style="260" customWidth="1"/>
    <col min="13065" max="13066" width="10.7109375" style="260" customWidth="1"/>
    <col min="13067" max="13068" width="9.140625" style="260"/>
    <col min="13069" max="13069" width="7.85546875" style="260" customWidth="1"/>
    <col min="13070" max="13070" width="8.42578125" style="260" customWidth="1"/>
    <col min="13071" max="13071" width="8.28515625" style="260" customWidth="1"/>
    <col min="13072" max="13076" width="9.140625" style="260"/>
    <col min="13077" max="13077" width="7.140625" style="260" customWidth="1"/>
    <col min="13078" max="13312" width="9.140625" style="260"/>
    <col min="13313" max="13313" width="21" style="260" customWidth="1"/>
    <col min="13314" max="13314" width="6.42578125" style="260" customWidth="1"/>
    <col min="13315" max="13315" width="8.140625" style="260" customWidth="1"/>
    <col min="13316" max="13316" width="7.140625" style="260" customWidth="1"/>
    <col min="13317" max="13317" width="8.7109375" style="260" customWidth="1"/>
    <col min="13318" max="13318" width="7.42578125" style="260" customWidth="1"/>
    <col min="13319" max="13319" width="8.5703125" style="260" customWidth="1"/>
    <col min="13320" max="13320" width="7.42578125" style="260" customWidth="1"/>
    <col min="13321" max="13322" width="10.7109375" style="260" customWidth="1"/>
    <col min="13323" max="13324" width="9.140625" style="260"/>
    <col min="13325" max="13325" width="7.85546875" style="260" customWidth="1"/>
    <col min="13326" max="13326" width="8.42578125" style="260" customWidth="1"/>
    <col min="13327" max="13327" width="8.28515625" style="260" customWidth="1"/>
    <col min="13328" max="13332" width="9.140625" style="260"/>
    <col min="13333" max="13333" width="7.140625" style="260" customWidth="1"/>
    <col min="13334" max="13568" width="9.140625" style="260"/>
    <col min="13569" max="13569" width="21" style="260" customWidth="1"/>
    <col min="13570" max="13570" width="6.42578125" style="260" customWidth="1"/>
    <col min="13571" max="13571" width="8.140625" style="260" customWidth="1"/>
    <col min="13572" max="13572" width="7.140625" style="260" customWidth="1"/>
    <col min="13573" max="13573" width="8.7109375" style="260" customWidth="1"/>
    <col min="13574" max="13574" width="7.42578125" style="260" customWidth="1"/>
    <col min="13575" max="13575" width="8.5703125" style="260" customWidth="1"/>
    <col min="13576" max="13576" width="7.42578125" style="260" customWidth="1"/>
    <col min="13577" max="13578" width="10.7109375" style="260" customWidth="1"/>
    <col min="13579" max="13580" width="9.140625" style="260"/>
    <col min="13581" max="13581" width="7.85546875" style="260" customWidth="1"/>
    <col min="13582" max="13582" width="8.42578125" style="260" customWidth="1"/>
    <col min="13583" max="13583" width="8.28515625" style="260" customWidth="1"/>
    <col min="13584" max="13588" width="9.140625" style="260"/>
    <col min="13589" max="13589" width="7.140625" style="260" customWidth="1"/>
    <col min="13590" max="13824" width="9.140625" style="260"/>
    <col min="13825" max="13825" width="21" style="260" customWidth="1"/>
    <col min="13826" max="13826" width="6.42578125" style="260" customWidth="1"/>
    <col min="13827" max="13827" width="8.140625" style="260" customWidth="1"/>
    <col min="13828" max="13828" width="7.140625" style="260" customWidth="1"/>
    <col min="13829" max="13829" width="8.7109375" style="260" customWidth="1"/>
    <col min="13830" max="13830" width="7.42578125" style="260" customWidth="1"/>
    <col min="13831" max="13831" width="8.5703125" style="260" customWidth="1"/>
    <col min="13832" max="13832" width="7.42578125" style="260" customWidth="1"/>
    <col min="13833" max="13834" width="10.7109375" style="260" customWidth="1"/>
    <col min="13835" max="13836" width="9.140625" style="260"/>
    <col min="13837" max="13837" width="7.85546875" style="260" customWidth="1"/>
    <col min="13838" max="13838" width="8.42578125" style="260" customWidth="1"/>
    <col min="13839" max="13839" width="8.28515625" style="260" customWidth="1"/>
    <col min="13840" max="13844" width="9.140625" style="260"/>
    <col min="13845" max="13845" width="7.140625" style="260" customWidth="1"/>
    <col min="13846" max="14080" width="9.140625" style="260"/>
    <col min="14081" max="14081" width="21" style="260" customWidth="1"/>
    <col min="14082" max="14082" width="6.42578125" style="260" customWidth="1"/>
    <col min="14083" max="14083" width="8.140625" style="260" customWidth="1"/>
    <col min="14084" max="14084" width="7.140625" style="260" customWidth="1"/>
    <col min="14085" max="14085" width="8.7109375" style="260" customWidth="1"/>
    <col min="14086" max="14086" width="7.42578125" style="260" customWidth="1"/>
    <col min="14087" max="14087" width="8.5703125" style="260" customWidth="1"/>
    <col min="14088" max="14088" width="7.42578125" style="260" customWidth="1"/>
    <col min="14089" max="14090" width="10.7109375" style="260" customWidth="1"/>
    <col min="14091" max="14092" width="9.140625" style="260"/>
    <col min="14093" max="14093" width="7.85546875" style="260" customWidth="1"/>
    <col min="14094" max="14094" width="8.42578125" style="260" customWidth="1"/>
    <col min="14095" max="14095" width="8.28515625" style="260" customWidth="1"/>
    <col min="14096" max="14100" width="9.140625" style="260"/>
    <col min="14101" max="14101" width="7.140625" style="260" customWidth="1"/>
    <col min="14102" max="14336" width="9.140625" style="260"/>
    <col min="14337" max="14337" width="21" style="260" customWidth="1"/>
    <col min="14338" max="14338" width="6.42578125" style="260" customWidth="1"/>
    <col min="14339" max="14339" width="8.140625" style="260" customWidth="1"/>
    <col min="14340" max="14340" width="7.140625" style="260" customWidth="1"/>
    <col min="14341" max="14341" width="8.7109375" style="260" customWidth="1"/>
    <col min="14342" max="14342" width="7.42578125" style="260" customWidth="1"/>
    <col min="14343" max="14343" width="8.5703125" style="260" customWidth="1"/>
    <col min="14344" max="14344" width="7.42578125" style="260" customWidth="1"/>
    <col min="14345" max="14346" width="10.7109375" style="260" customWidth="1"/>
    <col min="14347" max="14348" width="9.140625" style="260"/>
    <col min="14349" max="14349" width="7.85546875" style="260" customWidth="1"/>
    <col min="14350" max="14350" width="8.42578125" style="260" customWidth="1"/>
    <col min="14351" max="14351" width="8.28515625" style="260" customWidth="1"/>
    <col min="14352" max="14356" width="9.140625" style="260"/>
    <col min="14357" max="14357" width="7.140625" style="260" customWidth="1"/>
    <col min="14358" max="14592" width="9.140625" style="260"/>
    <col min="14593" max="14593" width="21" style="260" customWidth="1"/>
    <col min="14594" max="14594" width="6.42578125" style="260" customWidth="1"/>
    <col min="14595" max="14595" width="8.140625" style="260" customWidth="1"/>
    <col min="14596" max="14596" width="7.140625" style="260" customWidth="1"/>
    <col min="14597" max="14597" width="8.7109375" style="260" customWidth="1"/>
    <col min="14598" max="14598" width="7.42578125" style="260" customWidth="1"/>
    <col min="14599" max="14599" width="8.5703125" style="260" customWidth="1"/>
    <col min="14600" max="14600" width="7.42578125" style="260" customWidth="1"/>
    <col min="14601" max="14602" width="10.7109375" style="260" customWidth="1"/>
    <col min="14603" max="14604" width="9.140625" style="260"/>
    <col min="14605" max="14605" width="7.85546875" style="260" customWidth="1"/>
    <col min="14606" max="14606" width="8.42578125" style="260" customWidth="1"/>
    <col min="14607" max="14607" width="8.28515625" style="260" customWidth="1"/>
    <col min="14608" max="14612" width="9.140625" style="260"/>
    <col min="14613" max="14613" width="7.140625" style="260" customWidth="1"/>
    <col min="14614" max="14848" width="9.140625" style="260"/>
    <col min="14849" max="14849" width="21" style="260" customWidth="1"/>
    <col min="14850" max="14850" width="6.42578125" style="260" customWidth="1"/>
    <col min="14851" max="14851" width="8.140625" style="260" customWidth="1"/>
    <col min="14852" max="14852" width="7.140625" style="260" customWidth="1"/>
    <col min="14853" max="14853" width="8.7109375" style="260" customWidth="1"/>
    <col min="14854" max="14854" width="7.42578125" style="260" customWidth="1"/>
    <col min="14855" max="14855" width="8.5703125" style="260" customWidth="1"/>
    <col min="14856" max="14856" width="7.42578125" style="260" customWidth="1"/>
    <col min="14857" max="14858" width="10.7109375" style="260" customWidth="1"/>
    <col min="14859" max="14860" width="9.140625" style="260"/>
    <col min="14861" max="14861" width="7.85546875" style="260" customWidth="1"/>
    <col min="14862" max="14862" width="8.42578125" style="260" customWidth="1"/>
    <col min="14863" max="14863" width="8.28515625" style="260" customWidth="1"/>
    <col min="14864" max="14868" width="9.140625" style="260"/>
    <col min="14869" max="14869" width="7.140625" style="260" customWidth="1"/>
    <col min="14870" max="15104" width="9.140625" style="260"/>
    <col min="15105" max="15105" width="21" style="260" customWidth="1"/>
    <col min="15106" max="15106" width="6.42578125" style="260" customWidth="1"/>
    <col min="15107" max="15107" width="8.140625" style="260" customWidth="1"/>
    <col min="15108" max="15108" width="7.140625" style="260" customWidth="1"/>
    <col min="15109" max="15109" width="8.7109375" style="260" customWidth="1"/>
    <col min="15110" max="15110" width="7.42578125" style="260" customWidth="1"/>
    <col min="15111" max="15111" width="8.5703125" style="260" customWidth="1"/>
    <col min="15112" max="15112" width="7.42578125" style="260" customWidth="1"/>
    <col min="15113" max="15114" width="10.7109375" style="260" customWidth="1"/>
    <col min="15115" max="15116" width="9.140625" style="260"/>
    <col min="15117" max="15117" width="7.85546875" style="260" customWidth="1"/>
    <col min="15118" max="15118" width="8.42578125" style="260" customWidth="1"/>
    <col min="15119" max="15119" width="8.28515625" style="260" customWidth="1"/>
    <col min="15120" max="15124" width="9.140625" style="260"/>
    <col min="15125" max="15125" width="7.140625" style="260" customWidth="1"/>
    <col min="15126" max="15360" width="9.140625" style="260"/>
    <col min="15361" max="15361" width="21" style="260" customWidth="1"/>
    <col min="15362" max="15362" width="6.42578125" style="260" customWidth="1"/>
    <col min="15363" max="15363" width="8.140625" style="260" customWidth="1"/>
    <col min="15364" max="15364" width="7.140625" style="260" customWidth="1"/>
    <col min="15365" max="15365" width="8.7109375" style="260" customWidth="1"/>
    <col min="15366" max="15366" width="7.42578125" style="260" customWidth="1"/>
    <col min="15367" max="15367" width="8.5703125" style="260" customWidth="1"/>
    <col min="15368" max="15368" width="7.42578125" style="260" customWidth="1"/>
    <col min="15369" max="15370" width="10.7109375" style="260" customWidth="1"/>
    <col min="15371" max="15372" width="9.140625" style="260"/>
    <col min="15373" max="15373" width="7.85546875" style="260" customWidth="1"/>
    <col min="15374" max="15374" width="8.42578125" style="260" customWidth="1"/>
    <col min="15375" max="15375" width="8.28515625" style="260" customWidth="1"/>
    <col min="15376" max="15380" width="9.140625" style="260"/>
    <col min="15381" max="15381" width="7.140625" style="260" customWidth="1"/>
    <col min="15382" max="15616" width="9.140625" style="260"/>
    <col min="15617" max="15617" width="21" style="260" customWidth="1"/>
    <col min="15618" max="15618" width="6.42578125" style="260" customWidth="1"/>
    <col min="15619" max="15619" width="8.140625" style="260" customWidth="1"/>
    <col min="15620" max="15620" width="7.140625" style="260" customWidth="1"/>
    <col min="15621" max="15621" width="8.7109375" style="260" customWidth="1"/>
    <col min="15622" max="15622" width="7.42578125" style="260" customWidth="1"/>
    <col min="15623" max="15623" width="8.5703125" style="260" customWidth="1"/>
    <col min="15624" max="15624" width="7.42578125" style="260" customWidth="1"/>
    <col min="15625" max="15626" width="10.7109375" style="260" customWidth="1"/>
    <col min="15627" max="15628" width="9.140625" style="260"/>
    <col min="15629" max="15629" width="7.85546875" style="260" customWidth="1"/>
    <col min="15630" max="15630" width="8.42578125" style="260" customWidth="1"/>
    <col min="15631" max="15631" width="8.28515625" style="260" customWidth="1"/>
    <col min="15632" max="15636" width="9.140625" style="260"/>
    <col min="15637" max="15637" width="7.140625" style="260" customWidth="1"/>
    <col min="15638" max="15872" width="9.140625" style="260"/>
    <col min="15873" max="15873" width="21" style="260" customWidth="1"/>
    <col min="15874" max="15874" width="6.42578125" style="260" customWidth="1"/>
    <col min="15875" max="15875" width="8.140625" style="260" customWidth="1"/>
    <col min="15876" max="15876" width="7.140625" style="260" customWidth="1"/>
    <col min="15877" max="15877" width="8.7109375" style="260" customWidth="1"/>
    <col min="15878" max="15878" width="7.42578125" style="260" customWidth="1"/>
    <col min="15879" max="15879" width="8.5703125" style="260" customWidth="1"/>
    <col min="15880" max="15880" width="7.42578125" style="260" customWidth="1"/>
    <col min="15881" max="15882" width="10.7109375" style="260" customWidth="1"/>
    <col min="15883" max="15884" width="9.140625" style="260"/>
    <col min="15885" max="15885" width="7.85546875" style="260" customWidth="1"/>
    <col min="15886" max="15886" width="8.42578125" style="260" customWidth="1"/>
    <col min="15887" max="15887" width="8.28515625" style="260" customWidth="1"/>
    <col min="15888" max="15892" width="9.140625" style="260"/>
    <col min="15893" max="15893" width="7.140625" style="260" customWidth="1"/>
    <col min="15894" max="16128" width="9.140625" style="260"/>
    <col min="16129" max="16129" width="21" style="260" customWidth="1"/>
    <col min="16130" max="16130" width="6.42578125" style="260" customWidth="1"/>
    <col min="16131" max="16131" width="8.140625" style="260" customWidth="1"/>
    <col min="16132" max="16132" width="7.140625" style="260" customWidth="1"/>
    <col min="16133" max="16133" width="8.7109375" style="260" customWidth="1"/>
    <col min="16134" max="16134" width="7.42578125" style="260" customWidth="1"/>
    <col min="16135" max="16135" width="8.5703125" style="260" customWidth="1"/>
    <col min="16136" max="16136" width="7.42578125" style="260" customWidth="1"/>
    <col min="16137" max="16138" width="10.7109375" style="260" customWidth="1"/>
    <col min="16139" max="16140" width="9.140625" style="260"/>
    <col min="16141" max="16141" width="7.85546875" style="260" customWidth="1"/>
    <col min="16142" max="16142" width="8.42578125" style="260" customWidth="1"/>
    <col min="16143" max="16143" width="8.28515625" style="260" customWidth="1"/>
    <col min="16144" max="16148" width="9.140625" style="260"/>
    <col min="16149" max="16149" width="7.140625" style="260" customWidth="1"/>
    <col min="16150" max="16384" width="9.140625" style="260"/>
  </cols>
  <sheetData>
    <row r="1" spans="1:21" ht="12" customHeight="1" x14ac:dyDescent="0.35"/>
    <row r="2" spans="1:21" x14ac:dyDescent="0.35">
      <c r="A2" s="340" t="s">
        <v>750</v>
      </c>
      <c r="B2" s="340"/>
      <c r="C2" s="340"/>
      <c r="D2" s="340"/>
      <c r="E2" s="340"/>
      <c r="F2" s="340"/>
      <c r="G2" s="340"/>
      <c r="H2" s="340"/>
      <c r="I2" s="340"/>
      <c r="J2" s="261"/>
      <c r="K2" s="262"/>
    </row>
    <row r="3" spans="1:21" ht="37.5" customHeight="1" x14ac:dyDescent="0.35">
      <c r="A3" s="341" t="s">
        <v>821</v>
      </c>
      <c r="B3" s="342"/>
      <c r="C3" s="342"/>
      <c r="D3" s="342"/>
      <c r="E3" s="342"/>
      <c r="F3" s="342"/>
      <c r="G3" s="342"/>
      <c r="H3" s="342"/>
      <c r="I3" s="342"/>
      <c r="J3" s="263"/>
      <c r="K3" s="262"/>
    </row>
    <row r="4" spans="1:21" ht="6" customHeight="1" x14ac:dyDescent="0.35">
      <c r="A4" s="262"/>
      <c r="B4" s="262"/>
      <c r="C4" s="262"/>
      <c r="D4" s="262"/>
      <c r="E4" s="262"/>
      <c r="F4" s="262"/>
      <c r="G4" s="262"/>
      <c r="H4" s="262"/>
      <c r="I4" s="262"/>
      <c r="J4" s="262"/>
      <c r="K4" s="264"/>
      <c r="L4" s="265"/>
      <c r="M4" s="265"/>
      <c r="N4" s="265"/>
      <c r="O4" s="265"/>
      <c r="P4" s="265"/>
      <c r="Q4" s="265"/>
      <c r="R4" s="265"/>
      <c r="S4" s="265"/>
      <c r="T4" s="265"/>
      <c r="U4" s="265"/>
    </row>
    <row r="5" spans="1:21" ht="78" customHeight="1" x14ac:dyDescent="0.35">
      <c r="A5" s="343" t="s">
        <v>752</v>
      </c>
      <c r="B5" s="338" t="s">
        <v>753</v>
      </c>
      <c r="C5" s="346"/>
      <c r="D5" s="347"/>
      <c r="E5" s="338" t="s">
        <v>754</v>
      </c>
      <c r="F5" s="339"/>
      <c r="G5" s="338" t="s">
        <v>755</v>
      </c>
      <c r="H5" s="347"/>
      <c r="I5" s="343" t="s">
        <v>756</v>
      </c>
      <c r="J5" s="266"/>
      <c r="K5" s="267"/>
      <c r="L5" s="332"/>
      <c r="M5" s="329"/>
      <c r="N5" s="329"/>
      <c r="O5" s="329"/>
      <c r="P5" s="329"/>
      <c r="Q5" s="334"/>
      <c r="R5" s="335"/>
      <c r="S5" s="335"/>
      <c r="T5" s="332"/>
      <c r="U5" s="265"/>
    </row>
    <row r="6" spans="1:21" ht="21" customHeight="1" x14ac:dyDescent="0.35">
      <c r="A6" s="344"/>
      <c r="B6" s="336" t="s">
        <v>757</v>
      </c>
      <c r="C6" s="338" t="s">
        <v>758</v>
      </c>
      <c r="D6" s="339"/>
      <c r="E6" s="268">
        <v>194.03</v>
      </c>
      <c r="F6" s="268">
        <v>289.60000000000002</v>
      </c>
      <c r="G6" s="269">
        <v>0.06</v>
      </c>
      <c r="H6" s="270">
        <v>0.12</v>
      </c>
      <c r="I6" s="344"/>
      <c r="J6" s="266"/>
      <c r="K6" s="267"/>
      <c r="L6" s="332"/>
      <c r="M6" s="329"/>
      <c r="N6" s="329"/>
      <c r="O6" s="334"/>
      <c r="P6" s="271"/>
      <c r="Q6" s="271"/>
      <c r="R6" s="272"/>
      <c r="S6" s="273"/>
      <c r="T6" s="332"/>
      <c r="U6" s="265"/>
    </row>
    <row r="7" spans="1:21" ht="122.25" x14ac:dyDescent="0.35">
      <c r="A7" s="345"/>
      <c r="B7" s="337"/>
      <c r="C7" s="274" t="s">
        <v>759</v>
      </c>
      <c r="D7" s="274" t="s">
        <v>760</v>
      </c>
      <c r="E7" s="274" t="s">
        <v>759</v>
      </c>
      <c r="F7" s="274" t="s">
        <v>760</v>
      </c>
      <c r="G7" s="274" t="s">
        <v>759</v>
      </c>
      <c r="H7" s="274" t="s">
        <v>760</v>
      </c>
      <c r="I7" s="348"/>
      <c r="J7" s="266"/>
      <c r="K7" s="267"/>
      <c r="L7" s="333"/>
      <c r="M7" s="329"/>
      <c r="N7" s="267"/>
      <c r="O7" s="267"/>
      <c r="P7" s="267"/>
      <c r="Q7" s="267"/>
      <c r="R7" s="267"/>
      <c r="S7" s="267"/>
      <c r="T7" s="332"/>
      <c r="U7" s="265"/>
    </row>
    <row r="8" spans="1:21" x14ac:dyDescent="0.35">
      <c r="A8" s="275">
        <v>1</v>
      </c>
      <c r="B8" s="276">
        <v>2</v>
      </c>
      <c r="C8" s="276">
        <v>3</v>
      </c>
      <c r="D8" s="276">
        <v>4</v>
      </c>
      <c r="E8" s="276">
        <v>5</v>
      </c>
      <c r="F8" s="276">
        <v>6</v>
      </c>
      <c r="G8" s="276">
        <v>7</v>
      </c>
      <c r="H8" s="276">
        <v>8</v>
      </c>
      <c r="I8" s="276">
        <v>9</v>
      </c>
      <c r="J8" s="26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5"/>
    </row>
    <row r="9" spans="1:21" ht="30" customHeight="1" x14ac:dyDescent="0.35">
      <c r="A9" s="275" t="s">
        <v>761</v>
      </c>
      <c r="B9" s="276">
        <f t="shared" ref="B9:B18" si="0">C9+D9</f>
        <v>16.649999999999999</v>
      </c>
      <c r="C9" s="276">
        <v>10.9</v>
      </c>
      <c r="D9" s="276">
        <v>5.75</v>
      </c>
      <c r="E9" s="276">
        <f>E6*C9</f>
        <v>2114.9270000000001</v>
      </c>
      <c r="F9" s="277">
        <f>F6*D9</f>
        <v>1665.2</v>
      </c>
      <c r="G9" s="277">
        <f t="shared" ref="G9:G23" si="1">E9*6%</f>
        <v>126.89562000000001</v>
      </c>
      <c r="H9" s="277">
        <f>F9*12%</f>
        <v>199.82400000000001</v>
      </c>
      <c r="I9" s="277">
        <v>361</v>
      </c>
      <c r="J9" s="278">
        <f>I9-35</f>
        <v>326</v>
      </c>
      <c r="K9" s="264"/>
      <c r="L9" s="264"/>
      <c r="M9" s="264"/>
      <c r="N9" s="264"/>
      <c r="O9" s="264"/>
      <c r="P9" s="264"/>
      <c r="Q9" s="278"/>
      <c r="R9" s="278"/>
      <c r="S9" s="278"/>
      <c r="T9" s="278"/>
      <c r="U9" s="265"/>
    </row>
    <row r="10" spans="1:21" ht="30" customHeight="1" x14ac:dyDescent="0.35">
      <c r="A10" s="275" t="s">
        <v>762</v>
      </c>
      <c r="B10" s="276">
        <f t="shared" si="0"/>
        <v>12.6</v>
      </c>
      <c r="C10" s="276">
        <v>12.1</v>
      </c>
      <c r="D10" s="276">
        <v>0.5</v>
      </c>
      <c r="E10" s="277">
        <f>E6*C10</f>
        <v>2347.7629999999999</v>
      </c>
      <c r="F10" s="277">
        <f>F6*D10</f>
        <v>144.80000000000001</v>
      </c>
      <c r="G10" s="277">
        <f t="shared" si="1"/>
        <v>140.86578</v>
      </c>
      <c r="H10" s="277">
        <f>F10*12%</f>
        <v>17.376000000000001</v>
      </c>
      <c r="I10" s="277">
        <v>199</v>
      </c>
      <c r="J10" s="278">
        <f t="shared" ref="J10:J19" si="2">I10-35</f>
        <v>164</v>
      </c>
      <c r="K10" s="264"/>
      <c r="L10" s="264"/>
      <c r="M10" s="264"/>
      <c r="N10" s="264"/>
      <c r="O10" s="264"/>
      <c r="P10" s="278"/>
      <c r="Q10" s="278"/>
      <c r="R10" s="278"/>
      <c r="S10" s="278"/>
      <c r="T10" s="278"/>
      <c r="U10" s="265"/>
    </row>
    <row r="11" spans="1:21" ht="30" customHeight="1" x14ac:dyDescent="0.35">
      <c r="A11" s="275" t="s">
        <v>763</v>
      </c>
      <c r="B11" s="276">
        <f t="shared" si="0"/>
        <v>27.1</v>
      </c>
      <c r="C11" s="276">
        <v>19.600000000000001</v>
      </c>
      <c r="D11" s="276">
        <v>7.5</v>
      </c>
      <c r="E11" s="277">
        <f>E6*C11</f>
        <v>3802.9880000000003</v>
      </c>
      <c r="F11" s="277">
        <f>F6*D11</f>
        <v>2172</v>
      </c>
      <c r="G11" s="277">
        <f t="shared" si="1"/>
        <v>228.17928000000001</v>
      </c>
      <c r="H11" s="277">
        <f t="shared" ref="H11" si="3">F11*11%</f>
        <v>238.92</v>
      </c>
      <c r="I11" s="277">
        <v>401</v>
      </c>
      <c r="J11" s="278">
        <f t="shared" si="2"/>
        <v>366</v>
      </c>
      <c r="K11" s="264"/>
      <c r="L11" s="264"/>
      <c r="M11" s="264"/>
      <c r="N11" s="264"/>
      <c r="O11" s="264"/>
      <c r="P11" s="278"/>
      <c r="Q11" s="278"/>
      <c r="R11" s="278"/>
      <c r="S11" s="278"/>
      <c r="T11" s="278"/>
      <c r="U11" s="265"/>
    </row>
    <row r="12" spans="1:21" ht="30" customHeight="1" x14ac:dyDescent="0.35">
      <c r="A12" s="275" t="s">
        <v>764</v>
      </c>
      <c r="B12" s="276">
        <f t="shared" si="0"/>
        <v>13.15</v>
      </c>
      <c r="C12" s="276">
        <v>11.85</v>
      </c>
      <c r="D12" s="276">
        <v>1.3</v>
      </c>
      <c r="E12" s="277">
        <f>E6*C12</f>
        <v>2299.2554999999998</v>
      </c>
      <c r="F12" s="277">
        <f>F6*D12</f>
        <v>376.48</v>
      </c>
      <c r="G12" s="277">
        <f t="shared" si="1"/>
        <v>137.95532999999998</v>
      </c>
      <c r="H12" s="277">
        <f t="shared" ref="H12:H24" si="4">F12*12%</f>
        <v>45.177599999999998</v>
      </c>
      <c r="I12" s="277">
        <v>224</v>
      </c>
      <c r="J12" s="278">
        <f t="shared" si="2"/>
        <v>189</v>
      </c>
      <c r="K12" s="264"/>
      <c r="L12" s="264"/>
      <c r="M12" s="264"/>
      <c r="N12" s="264"/>
      <c r="O12" s="264"/>
      <c r="P12" s="278"/>
      <c r="Q12" s="278"/>
      <c r="R12" s="278"/>
      <c r="S12" s="278"/>
      <c r="T12" s="278"/>
      <c r="U12" s="265"/>
    </row>
    <row r="13" spans="1:21" ht="30" customHeight="1" x14ac:dyDescent="0.35">
      <c r="A13" s="275" t="s">
        <v>765</v>
      </c>
      <c r="B13" s="276">
        <f t="shared" si="0"/>
        <v>59.085999999999999</v>
      </c>
      <c r="C13" s="276">
        <v>55.5</v>
      </c>
      <c r="D13" s="276">
        <v>3.5859999999999999</v>
      </c>
      <c r="E13" s="277">
        <f>E6*C13</f>
        <v>10768.665000000001</v>
      </c>
      <c r="F13" s="277">
        <f>F6*D13</f>
        <v>1038.5056</v>
      </c>
      <c r="G13" s="277">
        <f t="shared" si="1"/>
        <v>646.11990000000003</v>
      </c>
      <c r="H13" s="277">
        <f t="shared" si="4"/>
        <v>124.62067199999998</v>
      </c>
      <c r="I13" s="277">
        <v>675</v>
      </c>
      <c r="J13" s="278">
        <f t="shared" si="2"/>
        <v>640</v>
      </c>
      <c r="K13" s="264"/>
      <c r="L13" s="264"/>
      <c r="M13" s="264"/>
      <c r="N13" s="264"/>
      <c r="O13" s="264"/>
      <c r="P13" s="278"/>
      <c r="Q13" s="278"/>
      <c r="R13" s="278"/>
      <c r="S13" s="278"/>
      <c r="T13" s="278"/>
      <c r="U13" s="265"/>
    </row>
    <row r="14" spans="1:21" ht="30" customHeight="1" x14ac:dyDescent="0.35">
      <c r="A14" s="275" t="s">
        <v>766</v>
      </c>
      <c r="B14" s="276">
        <f t="shared" si="0"/>
        <v>23.400000000000002</v>
      </c>
      <c r="C14" s="276">
        <v>23.1</v>
      </c>
      <c r="D14" s="276">
        <v>0.3</v>
      </c>
      <c r="E14" s="277">
        <f>E6*C14</f>
        <v>4482.0930000000008</v>
      </c>
      <c r="F14" s="277">
        <f>F6*D14</f>
        <v>86.88000000000001</v>
      </c>
      <c r="G14" s="277">
        <f t="shared" si="1"/>
        <v>268.92558000000002</v>
      </c>
      <c r="H14" s="277">
        <f t="shared" si="4"/>
        <v>10.425600000000001</v>
      </c>
      <c r="I14" s="277">
        <v>344</v>
      </c>
      <c r="J14" s="278">
        <f t="shared" si="2"/>
        <v>309</v>
      </c>
      <c r="K14" s="264"/>
      <c r="L14" s="264"/>
      <c r="M14" s="264"/>
      <c r="N14" s="264"/>
      <c r="O14" s="264"/>
      <c r="P14" s="278"/>
      <c r="Q14" s="278"/>
      <c r="R14" s="278"/>
      <c r="S14" s="278"/>
      <c r="T14" s="278"/>
      <c r="U14" s="265"/>
    </row>
    <row r="15" spans="1:21" ht="30" customHeight="1" x14ac:dyDescent="0.35">
      <c r="A15" s="275" t="s">
        <v>767</v>
      </c>
      <c r="B15" s="276">
        <f t="shared" si="0"/>
        <v>32.07</v>
      </c>
      <c r="C15" s="276">
        <v>20</v>
      </c>
      <c r="D15" s="276">
        <v>12.07</v>
      </c>
      <c r="E15" s="277">
        <f>E6*C15</f>
        <v>3880.6</v>
      </c>
      <c r="F15" s="277">
        <f>F6*D15</f>
        <v>3495.4720000000002</v>
      </c>
      <c r="G15" s="277">
        <f t="shared" si="1"/>
        <v>232.83599999999998</v>
      </c>
      <c r="H15" s="277">
        <f t="shared" si="4"/>
        <v>419.45663999999999</v>
      </c>
      <c r="I15" s="277">
        <v>531</v>
      </c>
      <c r="J15" s="278">
        <f t="shared" si="2"/>
        <v>496</v>
      </c>
      <c r="K15" s="264"/>
      <c r="L15" s="264"/>
      <c r="M15" s="264"/>
      <c r="N15" s="264"/>
      <c r="O15" s="264"/>
      <c r="P15" s="278"/>
      <c r="Q15" s="278"/>
      <c r="R15" s="278"/>
      <c r="S15" s="278"/>
      <c r="T15" s="278"/>
      <c r="U15" s="265"/>
    </row>
    <row r="16" spans="1:21" ht="45" customHeight="1" x14ac:dyDescent="0.35">
      <c r="A16" s="279" t="s">
        <v>768</v>
      </c>
      <c r="B16" s="276">
        <f t="shared" si="0"/>
        <v>28.251000000000001</v>
      </c>
      <c r="C16" s="276">
        <v>18.951000000000001</v>
      </c>
      <c r="D16" s="276">
        <v>9.3000000000000007</v>
      </c>
      <c r="E16" s="277">
        <f>E6*C16</f>
        <v>3677.0625300000002</v>
      </c>
      <c r="F16" s="277">
        <f>F6*D16</f>
        <v>2693.28</v>
      </c>
      <c r="G16" s="277">
        <f t="shared" si="1"/>
        <v>220.62375180000001</v>
      </c>
      <c r="H16" s="277">
        <f t="shared" si="4"/>
        <v>323.1936</v>
      </c>
      <c r="I16" s="277">
        <v>499</v>
      </c>
      <c r="J16" s="278">
        <f t="shared" si="2"/>
        <v>464</v>
      </c>
      <c r="K16" s="264"/>
      <c r="L16" s="280"/>
      <c r="M16" s="264"/>
      <c r="N16" s="264"/>
      <c r="O16" s="264"/>
      <c r="P16" s="278"/>
      <c r="Q16" s="278"/>
      <c r="R16" s="278"/>
      <c r="S16" s="278"/>
      <c r="T16" s="278"/>
      <c r="U16" s="265"/>
    </row>
    <row r="17" spans="1:21" ht="30" customHeight="1" x14ac:dyDescent="0.35">
      <c r="A17" s="275" t="s">
        <v>769</v>
      </c>
      <c r="B17" s="281">
        <f t="shared" si="0"/>
        <v>37</v>
      </c>
      <c r="C17" s="276">
        <v>26.8</v>
      </c>
      <c r="D17" s="276">
        <v>10.199999999999999</v>
      </c>
      <c r="E17" s="277">
        <f>E6*C17</f>
        <v>5200.0039999999999</v>
      </c>
      <c r="F17" s="277">
        <f>F6*D17</f>
        <v>2953.92</v>
      </c>
      <c r="G17" s="277">
        <f t="shared" si="1"/>
        <v>312.00023999999996</v>
      </c>
      <c r="H17" s="277">
        <f t="shared" si="4"/>
        <v>354.47039999999998</v>
      </c>
      <c r="I17" s="277">
        <v>514</v>
      </c>
      <c r="J17" s="278">
        <f t="shared" si="2"/>
        <v>479</v>
      </c>
      <c r="K17" s="264"/>
      <c r="L17" s="264"/>
      <c r="M17" s="264"/>
      <c r="N17" s="264"/>
      <c r="O17" s="264"/>
      <c r="P17" s="278"/>
      <c r="Q17" s="278"/>
      <c r="R17" s="278"/>
      <c r="S17" s="278"/>
      <c r="T17" s="278"/>
      <c r="U17" s="265"/>
    </row>
    <row r="18" spans="1:21" ht="30" customHeight="1" x14ac:dyDescent="0.35">
      <c r="A18" s="275" t="s">
        <v>770</v>
      </c>
      <c r="B18" s="276">
        <f t="shared" si="0"/>
        <v>47.5</v>
      </c>
      <c r="C18" s="276">
        <v>42</v>
      </c>
      <c r="D18" s="276">
        <v>5.5</v>
      </c>
      <c r="E18" s="277">
        <f>E6*C18</f>
        <v>8149.26</v>
      </c>
      <c r="F18" s="277">
        <f>F6*D18</f>
        <v>1592.8000000000002</v>
      </c>
      <c r="G18" s="277">
        <f t="shared" si="1"/>
        <v>488.9556</v>
      </c>
      <c r="H18" s="277">
        <f t="shared" si="4"/>
        <v>191.13600000000002</v>
      </c>
      <c r="I18" s="277">
        <v>563</v>
      </c>
      <c r="J18" s="278">
        <f t="shared" si="2"/>
        <v>528</v>
      </c>
      <c r="K18" s="264"/>
      <c r="L18" s="264"/>
      <c r="M18" s="264"/>
      <c r="N18" s="264">
        <f>533/15</f>
        <v>35.533333333333331</v>
      </c>
      <c r="O18" s="264"/>
      <c r="P18" s="278"/>
      <c r="Q18" s="278"/>
      <c r="R18" s="278"/>
      <c r="S18" s="278"/>
      <c r="T18" s="278"/>
      <c r="U18" s="265"/>
    </row>
    <row r="19" spans="1:21" ht="30" customHeight="1" x14ac:dyDescent="0.35">
      <c r="A19" s="275" t="s">
        <v>771</v>
      </c>
      <c r="B19" s="276">
        <f t="shared" ref="B19:B20" si="5">+C19+D19</f>
        <v>33.1</v>
      </c>
      <c r="C19" s="276">
        <v>23.6</v>
      </c>
      <c r="D19" s="276">
        <v>9.5</v>
      </c>
      <c r="E19" s="277">
        <f>E6*C19</f>
        <v>4579.1080000000002</v>
      </c>
      <c r="F19" s="277">
        <f>F6*D19</f>
        <v>2751.2000000000003</v>
      </c>
      <c r="G19" s="277">
        <f t="shared" si="1"/>
        <v>274.74648000000002</v>
      </c>
      <c r="H19" s="277">
        <f t="shared" si="4"/>
        <v>330.14400000000001</v>
      </c>
      <c r="I19" s="277">
        <v>443</v>
      </c>
      <c r="J19" s="278">
        <f t="shared" si="2"/>
        <v>408</v>
      </c>
      <c r="K19" s="264"/>
      <c r="L19" s="264"/>
      <c r="M19" s="264"/>
      <c r="N19" s="264"/>
      <c r="O19" s="264"/>
      <c r="P19" s="278"/>
      <c r="Q19" s="278"/>
      <c r="R19" s="278"/>
      <c r="S19" s="278"/>
      <c r="T19" s="278"/>
      <c r="U19" s="265"/>
    </row>
    <row r="20" spans="1:21" ht="30" customHeight="1" x14ac:dyDescent="0.35">
      <c r="A20" s="275" t="s">
        <v>772</v>
      </c>
      <c r="B20" s="276">
        <f t="shared" si="5"/>
        <v>34.591000000000001</v>
      </c>
      <c r="C20" s="282">
        <v>11.218999999999999</v>
      </c>
      <c r="D20" s="276">
        <v>23.372</v>
      </c>
      <c r="E20" s="277">
        <f>E6*C20</f>
        <v>2176.8225699999998</v>
      </c>
      <c r="F20" s="277">
        <f>F6*D20</f>
        <v>6768.5312000000004</v>
      </c>
      <c r="G20" s="277">
        <f t="shared" si="1"/>
        <v>130.60935419999998</v>
      </c>
      <c r="H20" s="277">
        <f t="shared" si="4"/>
        <v>812.22374400000001</v>
      </c>
      <c r="I20" s="277">
        <v>2588</v>
      </c>
      <c r="J20" s="277"/>
      <c r="K20" s="264"/>
      <c r="L20" s="264">
        <v>942.83309819999999</v>
      </c>
      <c r="M20" s="264"/>
      <c r="N20" s="264">
        <f>8976600</f>
        <v>8976600</v>
      </c>
      <c r="O20" s="264">
        <f>N20-2500000</f>
        <v>6476600</v>
      </c>
      <c r="P20" s="278"/>
      <c r="Q20" s="278"/>
      <c r="R20" s="278"/>
      <c r="S20" s="278"/>
      <c r="T20" s="278"/>
      <c r="U20" s="265"/>
    </row>
    <row r="21" spans="1:21" ht="30" customHeight="1" x14ac:dyDescent="0.35">
      <c r="A21" s="275" t="s">
        <v>773</v>
      </c>
      <c r="B21" s="276">
        <f>C21+D21</f>
        <v>22.919999999999998</v>
      </c>
      <c r="C21" s="276">
        <v>20.399999999999999</v>
      </c>
      <c r="D21" s="276">
        <v>2.52</v>
      </c>
      <c r="E21" s="277">
        <f>E6*C21</f>
        <v>3958.2119999999995</v>
      </c>
      <c r="F21" s="277">
        <f>F6*D21</f>
        <v>729.79200000000003</v>
      </c>
      <c r="G21" s="277">
        <f t="shared" si="1"/>
        <v>237.49271999999996</v>
      </c>
      <c r="H21" s="277">
        <f t="shared" si="4"/>
        <v>87.575040000000001</v>
      </c>
      <c r="I21" s="277">
        <v>334</v>
      </c>
      <c r="J21" s="278">
        <f>I21-35</f>
        <v>299</v>
      </c>
      <c r="K21" s="264"/>
      <c r="L21" s="264"/>
      <c r="M21" s="264"/>
      <c r="N21" s="264"/>
      <c r="O21" s="264"/>
      <c r="P21" s="278"/>
      <c r="Q21" s="278"/>
      <c r="R21" s="278"/>
      <c r="S21" s="278"/>
      <c r="T21" s="278"/>
      <c r="U21" s="265"/>
    </row>
    <row r="22" spans="1:21" ht="30" customHeight="1" x14ac:dyDescent="0.35">
      <c r="A22" s="275" t="s">
        <v>774</v>
      </c>
      <c r="B22" s="276">
        <f>C22+D22</f>
        <v>16.445</v>
      </c>
      <c r="C22" s="276">
        <v>16.427</v>
      </c>
      <c r="D22" s="276">
        <v>1.7999999999999999E-2</v>
      </c>
      <c r="E22" s="277">
        <f>E6*C22</f>
        <v>3187.3308099999999</v>
      </c>
      <c r="F22" s="277">
        <f>F6*D22</f>
        <v>5.2127999999999997</v>
      </c>
      <c r="G22" s="277">
        <f t="shared" si="1"/>
        <v>191.23984859999999</v>
      </c>
      <c r="H22" s="277">
        <f t="shared" si="4"/>
        <v>0.62553599999999998</v>
      </c>
      <c r="I22" s="277">
        <v>278</v>
      </c>
      <c r="J22" s="278">
        <f t="shared" ref="J22:J24" si="6">I22-35</f>
        <v>243</v>
      </c>
      <c r="K22" s="264"/>
      <c r="L22" s="264"/>
      <c r="M22" s="264"/>
      <c r="N22" s="264"/>
      <c r="O22" s="264"/>
      <c r="P22" s="278"/>
      <c r="Q22" s="278"/>
      <c r="R22" s="278"/>
      <c r="S22" s="278"/>
      <c r="T22" s="278"/>
      <c r="U22" s="265"/>
    </row>
    <row r="23" spans="1:21" ht="30" customHeight="1" x14ac:dyDescent="0.35">
      <c r="A23" s="275" t="s">
        <v>775</v>
      </c>
      <c r="B23" s="276">
        <f>C23+D23</f>
        <v>33.218000000000004</v>
      </c>
      <c r="C23" s="276">
        <v>23.018000000000001</v>
      </c>
      <c r="D23" s="276">
        <v>10.199999999999999</v>
      </c>
      <c r="E23" s="277">
        <f>E6*C23</f>
        <v>4466.1825399999998</v>
      </c>
      <c r="F23" s="277">
        <f>F6*D23</f>
        <v>2953.92</v>
      </c>
      <c r="G23" s="277">
        <f t="shared" si="1"/>
        <v>267.97095239999999</v>
      </c>
      <c r="H23" s="277">
        <f t="shared" si="4"/>
        <v>354.47039999999998</v>
      </c>
      <c r="I23" s="277">
        <v>501</v>
      </c>
      <c r="J23" s="278">
        <f t="shared" si="6"/>
        <v>466</v>
      </c>
      <c r="K23" s="264"/>
      <c r="L23" s="264"/>
      <c r="M23" s="264"/>
      <c r="N23" s="264"/>
      <c r="O23" s="264"/>
      <c r="P23" s="278"/>
      <c r="Q23" s="278"/>
      <c r="R23" s="278"/>
      <c r="S23" s="278"/>
      <c r="T23" s="278"/>
      <c r="U23" s="265"/>
    </row>
    <row r="24" spans="1:21" ht="30" customHeight="1" x14ac:dyDescent="0.35">
      <c r="A24" s="275" t="s">
        <v>776</v>
      </c>
      <c r="B24" s="276">
        <f>C24+D24</f>
        <v>46.519999999999996</v>
      </c>
      <c r="C24" s="276">
        <v>37.4</v>
      </c>
      <c r="D24" s="276">
        <v>9.1199999999999992</v>
      </c>
      <c r="E24" s="277">
        <f>E6*C24</f>
        <v>7256.7219999999998</v>
      </c>
      <c r="F24" s="277">
        <f>F6*D24</f>
        <v>2641.152</v>
      </c>
      <c r="G24" s="277">
        <f t="shared" ref="G24" si="7">E24*5.5%</f>
        <v>399.11971</v>
      </c>
      <c r="H24" s="277">
        <f t="shared" si="4"/>
        <v>316.93824000000001</v>
      </c>
      <c r="I24" s="277">
        <f>530-8.4</f>
        <v>521.6</v>
      </c>
      <c r="J24" s="278">
        <f t="shared" si="6"/>
        <v>486.6</v>
      </c>
      <c r="K24" s="264"/>
      <c r="L24" s="264"/>
      <c r="M24" s="264"/>
      <c r="N24" s="264"/>
      <c r="O24" s="264"/>
      <c r="P24" s="278"/>
      <c r="Q24" s="278"/>
      <c r="R24" s="278"/>
      <c r="S24" s="278"/>
      <c r="T24" s="278"/>
      <c r="U24" s="265"/>
    </row>
    <row r="25" spans="1:21" ht="45" customHeight="1" x14ac:dyDescent="0.35">
      <c r="A25" s="275" t="s">
        <v>777</v>
      </c>
      <c r="B25" s="282">
        <f>SUM(B9:B24)</f>
        <v>483.60100000000006</v>
      </c>
      <c r="C25" s="276">
        <f>B25-D25</f>
        <v>372.86500000000007</v>
      </c>
      <c r="D25" s="276">
        <f t="shared" ref="D25:I25" si="8">SUM(D9:D24)</f>
        <v>110.736</v>
      </c>
      <c r="E25" s="277">
        <f t="shared" si="8"/>
        <v>72346.995949999997</v>
      </c>
      <c r="F25" s="277">
        <f t="shared" si="8"/>
        <v>32069.145600000011</v>
      </c>
      <c r="G25" s="277">
        <f t="shared" si="8"/>
        <v>4304.5361469999998</v>
      </c>
      <c r="H25" s="277">
        <f t="shared" si="8"/>
        <v>3826.5774720000004</v>
      </c>
      <c r="I25" s="277">
        <f t="shared" si="8"/>
        <v>8976.6</v>
      </c>
      <c r="J25" s="278">
        <f>I25-8976.6</f>
        <v>0</v>
      </c>
      <c r="K25" s="264"/>
      <c r="L25" s="264"/>
      <c r="M25" s="264"/>
      <c r="N25" s="264"/>
      <c r="O25" s="264"/>
      <c r="P25" s="278"/>
      <c r="Q25" s="278"/>
      <c r="R25" s="278"/>
      <c r="S25" s="278"/>
      <c r="T25" s="278"/>
      <c r="U25" s="265"/>
    </row>
    <row r="26" spans="1:21" ht="35.25" customHeight="1" x14ac:dyDescent="0.35">
      <c r="K26" s="265"/>
      <c r="L26" s="265"/>
      <c r="M26" s="265"/>
      <c r="N26" s="265"/>
      <c r="O26" s="265"/>
      <c r="P26" s="265"/>
      <c r="Q26" s="265"/>
      <c r="R26" s="265"/>
      <c r="S26" s="265"/>
      <c r="T26" s="265"/>
      <c r="U26" s="265"/>
    </row>
    <row r="27" spans="1:21" ht="25.5" customHeight="1" x14ac:dyDescent="0.35">
      <c r="A27" s="329" t="s">
        <v>778</v>
      </c>
      <c r="B27" s="330"/>
      <c r="C27" s="330"/>
      <c r="D27" s="330"/>
      <c r="E27" s="330"/>
      <c r="F27" s="330"/>
      <c r="G27" s="330"/>
      <c r="H27" s="330"/>
      <c r="I27" s="330"/>
      <c r="J27" s="283"/>
      <c r="K27" s="265"/>
      <c r="L27" s="265"/>
      <c r="M27" s="265"/>
      <c r="N27" s="265"/>
      <c r="O27" s="265"/>
      <c r="P27" s="265"/>
      <c r="Q27" s="265"/>
      <c r="R27" s="265"/>
      <c r="S27" s="265"/>
      <c r="T27" s="265"/>
      <c r="U27" s="265"/>
    </row>
    <row r="28" spans="1:21" ht="54" customHeight="1" x14ac:dyDescent="0.35">
      <c r="A28" s="329" t="s">
        <v>779</v>
      </c>
      <c r="B28" s="330"/>
      <c r="C28" s="330"/>
      <c r="D28" s="330"/>
      <c r="E28" s="330"/>
      <c r="F28" s="330"/>
      <c r="G28" s="330"/>
      <c r="H28" s="330"/>
      <c r="I28" s="330"/>
      <c r="J28" s="283"/>
      <c r="K28" s="265"/>
      <c r="L28" s="265"/>
      <c r="M28" s="265"/>
      <c r="N28" s="265"/>
      <c r="O28" s="265"/>
      <c r="P28" s="265"/>
      <c r="Q28" s="265"/>
      <c r="R28" s="265"/>
      <c r="S28" s="265"/>
      <c r="T28" s="265"/>
      <c r="U28" s="265"/>
    </row>
    <row r="29" spans="1:21" ht="35.25" customHeight="1" x14ac:dyDescent="0.35">
      <c r="A29" s="331" t="s">
        <v>780</v>
      </c>
      <c r="B29" s="331"/>
      <c r="C29" s="331"/>
      <c r="D29" s="331"/>
      <c r="E29" s="331"/>
      <c r="F29" s="331"/>
      <c r="G29" s="331"/>
      <c r="H29" s="331"/>
      <c r="I29" s="331"/>
      <c r="J29" s="284"/>
      <c r="K29" s="265"/>
      <c r="L29" s="265"/>
      <c r="M29" s="265"/>
      <c r="N29" s="265"/>
      <c r="O29" s="265"/>
      <c r="P29" s="265"/>
      <c r="Q29" s="265"/>
      <c r="R29" s="265"/>
      <c r="S29" s="265"/>
      <c r="T29" s="265"/>
      <c r="U29" s="265"/>
    </row>
    <row r="30" spans="1:21" x14ac:dyDescent="0.35">
      <c r="K30" s="265"/>
      <c r="L30" s="265"/>
      <c r="M30" s="265"/>
      <c r="N30" s="265"/>
      <c r="O30" s="265"/>
      <c r="P30" s="265"/>
      <c r="Q30" s="265"/>
      <c r="R30" s="265"/>
      <c r="S30" s="265"/>
      <c r="T30" s="265"/>
      <c r="U30" s="265"/>
    </row>
    <row r="31" spans="1:21" x14ac:dyDescent="0.35">
      <c r="K31" s="265"/>
      <c r="L31" s="265"/>
      <c r="M31" s="265"/>
      <c r="N31" s="265"/>
      <c r="O31" s="265"/>
      <c r="P31" s="265"/>
      <c r="Q31" s="265"/>
      <c r="R31" s="265"/>
      <c r="S31" s="265"/>
      <c r="T31" s="265"/>
      <c r="U31" s="265"/>
    </row>
    <row r="32" spans="1:21" x14ac:dyDescent="0.35">
      <c r="K32" s="265"/>
      <c r="L32" s="265"/>
      <c r="M32" s="265"/>
      <c r="N32" s="265"/>
      <c r="O32" s="265"/>
      <c r="P32" s="265"/>
      <c r="Q32" s="265"/>
      <c r="R32" s="265"/>
      <c r="S32" s="265"/>
      <c r="T32" s="265"/>
      <c r="U32" s="265"/>
    </row>
    <row r="33" spans="11:21" x14ac:dyDescent="0.35">
      <c r="K33" s="265"/>
      <c r="L33" s="265"/>
      <c r="M33" s="265"/>
      <c r="N33" s="265"/>
      <c r="O33" s="265"/>
      <c r="P33" s="265"/>
      <c r="Q33" s="265"/>
      <c r="R33" s="265"/>
      <c r="S33" s="265"/>
      <c r="T33" s="265"/>
      <c r="U33" s="265"/>
    </row>
    <row r="34" spans="11:21" x14ac:dyDescent="0.35">
      <c r="K34" s="265"/>
      <c r="L34" s="265"/>
      <c r="M34" s="265"/>
      <c r="N34" s="265"/>
      <c r="O34" s="265"/>
      <c r="P34" s="265"/>
      <c r="Q34" s="265"/>
      <c r="R34" s="265"/>
      <c r="S34" s="265"/>
      <c r="T34" s="265"/>
      <c r="U34" s="265"/>
    </row>
    <row r="35" spans="11:21" x14ac:dyDescent="0.35">
      <c r="K35" s="265"/>
      <c r="L35" s="265"/>
      <c r="M35" s="265"/>
      <c r="N35" s="265"/>
      <c r="O35" s="265"/>
      <c r="P35" s="265"/>
      <c r="Q35" s="265"/>
      <c r="R35" s="265"/>
      <c r="S35" s="265"/>
      <c r="T35" s="265"/>
      <c r="U35" s="265"/>
    </row>
    <row r="36" spans="11:21" x14ac:dyDescent="0.35">
      <c r="K36" s="265"/>
      <c r="L36" s="265"/>
      <c r="M36" s="265"/>
      <c r="N36" s="265"/>
      <c r="O36" s="265"/>
      <c r="P36" s="265"/>
      <c r="Q36" s="265"/>
      <c r="R36" s="265"/>
      <c r="S36" s="265"/>
      <c r="T36" s="265"/>
      <c r="U36" s="265"/>
    </row>
    <row r="37" spans="11:21" x14ac:dyDescent="0.35">
      <c r="K37" s="265"/>
      <c r="L37" s="265"/>
      <c r="M37" s="265"/>
      <c r="N37" s="265"/>
      <c r="O37" s="265"/>
      <c r="P37" s="265"/>
      <c r="Q37" s="265"/>
      <c r="R37" s="265"/>
      <c r="S37" s="265"/>
      <c r="T37" s="265"/>
      <c r="U37" s="265"/>
    </row>
    <row r="38" spans="11:21" x14ac:dyDescent="0.35">
      <c r="K38" s="265"/>
      <c r="L38" s="265"/>
      <c r="M38" s="265"/>
      <c r="N38" s="265"/>
      <c r="O38" s="265"/>
      <c r="P38" s="265"/>
      <c r="Q38" s="265"/>
      <c r="R38" s="265"/>
      <c r="S38" s="265"/>
      <c r="T38" s="265"/>
      <c r="U38" s="265"/>
    </row>
    <row r="39" spans="11:21" x14ac:dyDescent="0.35">
      <c r="K39" s="265"/>
      <c r="L39" s="265"/>
      <c r="M39" s="265"/>
      <c r="N39" s="265"/>
      <c r="O39" s="265"/>
      <c r="P39" s="265"/>
      <c r="Q39" s="265"/>
      <c r="R39" s="265"/>
      <c r="S39" s="265"/>
      <c r="T39" s="265"/>
      <c r="U39" s="265"/>
    </row>
    <row r="40" spans="11:21" x14ac:dyDescent="0.35">
      <c r="K40" s="265"/>
      <c r="L40" s="265"/>
      <c r="M40" s="265"/>
      <c r="N40" s="265"/>
      <c r="O40" s="265"/>
      <c r="P40" s="265"/>
      <c r="Q40" s="265"/>
      <c r="R40" s="265"/>
      <c r="S40" s="265"/>
      <c r="T40" s="265"/>
      <c r="U40" s="265"/>
    </row>
  </sheetData>
  <mergeCells count="19">
    <mergeCell ref="A2:I2"/>
    <mergeCell ref="A3:I3"/>
    <mergeCell ref="A5:A7"/>
    <mergeCell ref="B5:D5"/>
    <mergeCell ref="E5:F5"/>
    <mergeCell ref="G5:H5"/>
    <mergeCell ref="I5:I7"/>
    <mergeCell ref="P5:Q5"/>
    <mergeCell ref="R5:S5"/>
    <mergeCell ref="T5:T7"/>
    <mergeCell ref="B6:B7"/>
    <mergeCell ref="C6:D6"/>
    <mergeCell ref="M6:M7"/>
    <mergeCell ref="N6:O6"/>
    <mergeCell ref="A28:I28"/>
    <mergeCell ref="A29:I29"/>
    <mergeCell ref="L5:L7"/>
    <mergeCell ref="M5:O5"/>
    <mergeCell ref="A27:I27"/>
  </mergeCells>
  <pageMargins left="0.7" right="0.7" top="0.75" bottom="0.75" header="0.3" footer="0.3"/>
  <pageSetup paperSize="9" scale="6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18B4B-14CD-49C5-BE9D-2E1DFD25F076}">
  <dimension ref="A1:U60"/>
  <sheetViews>
    <sheetView topLeftCell="A13" workbookViewId="0">
      <selection activeCell="D33" sqref="D33"/>
    </sheetView>
  </sheetViews>
  <sheetFormatPr defaultRowHeight="15" x14ac:dyDescent="0.25"/>
  <cols>
    <col min="1" max="1" width="5.28515625" style="17" customWidth="1"/>
    <col min="2" max="2" width="9.140625" style="53"/>
    <col min="3" max="3" width="65" style="17" bestFit="1" customWidth="1"/>
    <col min="4" max="4" width="29.42578125" style="57" bestFit="1" customWidth="1"/>
    <col min="5" max="5" width="11.28515625" style="17" customWidth="1"/>
    <col min="6" max="6" width="13.7109375" style="17" customWidth="1"/>
    <col min="7" max="8" width="13.7109375" style="17" hidden="1" customWidth="1"/>
    <col min="9" max="9" width="9.140625" style="17" hidden="1" customWidth="1"/>
    <col min="10" max="10" width="8.28515625" style="17" hidden="1" customWidth="1"/>
    <col min="11" max="11" width="12" style="17" hidden="1" customWidth="1"/>
    <col min="12" max="12" width="9.140625" style="56" hidden="1" customWidth="1"/>
    <col min="13" max="13" width="8.7109375" style="17" hidden="1" customWidth="1"/>
    <col min="14" max="14" width="9.7109375" style="17" hidden="1" customWidth="1"/>
    <col min="15" max="15" width="7.85546875" style="17" hidden="1" customWidth="1"/>
    <col min="16" max="16" width="65" style="17" bestFit="1" customWidth="1"/>
    <col min="17" max="17" width="26.85546875" style="17" customWidth="1"/>
    <col min="18" max="18" width="13.140625" style="17" customWidth="1"/>
    <col min="19" max="19" width="12.85546875" style="17" customWidth="1"/>
    <col min="20" max="20" width="14" style="21" hidden="1" customWidth="1"/>
    <col min="21" max="21" width="15" hidden="1" customWidth="1"/>
  </cols>
  <sheetData>
    <row r="1" spans="1:21" ht="43.7" customHeight="1" x14ac:dyDescent="0.25"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9" t="s">
        <v>572</v>
      </c>
      <c r="Q1" s="18"/>
      <c r="R1" s="18"/>
      <c r="S1" s="20" t="s">
        <v>573</v>
      </c>
    </row>
    <row r="2" spans="1:21" ht="30.75" customHeight="1" x14ac:dyDescent="0.25">
      <c r="A2" s="355" t="s">
        <v>574</v>
      </c>
      <c r="B2" s="358" t="s">
        <v>575</v>
      </c>
      <c r="C2" s="361" t="s">
        <v>576</v>
      </c>
      <c r="D2" s="362"/>
      <c r="E2" s="367" t="s">
        <v>577</v>
      </c>
      <c r="F2" s="368"/>
      <c r="G2" s="367" t="s">
        <v>578</v>
      </c>
      <c r="H2" s="368"/>
      <c r="I2" s="22"/>
      <c r="J2" s="23"/>
      <c r="K2" s="23"/>
      <c r="L2" s="23"/>
      <c r="M2" s="23"/>
      <c r="N2" s="23"/>
      <c r="O2" s="23"/>
      <c r="P2" s="373" t="s">
        <v>579</v>
      </c>
      <c r="Q2" s="374"/>
      <c r="R2" s="349" t="s">
        <v>577</v>
      </c>
      <c r="S2" s="350"/>
    </row>
    <row r="3" spans="1:21" ht="19.350000000000001" customHeight="1" x14ac:dyDescent="0.25">
      <c r="A3" s="356"/>
      <c r="B3" s="359"/>
      <c r="C3" s="363"/>
      <c r="D3" s="364"/>
      <c r="E3" s="369"/>
      <c r="F3" s="370"/>
      <c r="G3" s="369"/>
      <c r="H3" s="370"/>
      <c r="I3" s="22" t="s">
        <v>580</v>
      </c>
      <c r="J3" s="23"/>
      <c r="K3" s="23"/>
      <c r="L3" s="23"/>
      <c r="M3" s="24"/>
      <c r="N3" s="25" t="s">
        <v>581</v>
      </c>
      <c r="O3" s="26"/>
      <c r="P3" s="375"/>
      <c r="Q3" s="376"/>
      <c r="R3" s="351"/>
      <c r="S3" s="352"/>
    </row>
    <row r="4" spans="1:21" ht="15.75" customHeight="1" x14ac:dyDescent="0.25">
      <c r="A4" s="356"/>
      <c r="B4" s="359"/>
      <c r="C4" s="363"/>
      <c r="D4" s="364"/>
      <c r="E4" s="369"/>
      <c r="F4" s="370"/>
      <c r="G4" s="369"/>
      <c r="H4" s="370"/>
      <c r="I4" s="25" t="s">
        <v>582</v>
      </c>
      <c r="J4" s="26"/>
      <c r="K4" s="27"/>
      <c r="L4" s="25" t="s">
        <v>583</v>
      </c>
      <c r="M4" s="27"/>
      <c r="N4" s="28"/>
      <c r="O4" s="29"/>
      <c r="P4" s="375"/>
      <c r="Q4" s="376"/>
      <c r="R4" s="351"/>
      <c r="S4" s="352"/>
    </row>
    <row r="5" spans="1:21" ht="13.5" customHeight="1" x14ac:dyDescent="0.25">
      <c r="A5" s="356"/>
      <c r="B5" s="359"/>
      <c r="C5" s="365"/>
      <c r="D5" s="366"/>
      <c r="E5" s="371"/>
      <c r="F5" s="372"/>
      <c r="G5" s="371"/>
      <c r="H5" s="372"/>
      <c r="I5" s="30"/>
      <c r="J5" s="31"/>
      <c r="K5" s="32"/>
      <c r="L5" s="30"/>
      <c r="M5" s="32"/>
      <c r="N5" s="30"/>
      <c r="O5" s="31"/>
      <c r="P5" s="377"/>
      <c r="Q5" s="378"/>
      <c r="R5" s="353"/>
      <c r="S5" s="354"/>
    </row>
    <row r="6" spans="1:21" ht="34.15" customHeight="1" x14ac:dyDescent="0.25">
      <c r="A6" s="357"/>
      <c r="B6" s="360"/>
      <c r="C6" s="33" t="s">
        <v>584</v>
      </c>
      <c r="D6" s="33" t="s">
        <v>585</v>
      </c>
      <c r="E6" s="34" t="s">
        <v>586</v>
      </c>
      <c r="F6" s="34" t="s">
        <v>587</v>
      </c>
      <c r="G6" s="34" t="s">
        <v>588</v>
      </c>
      <c r="H6" s="34" t="s">
        <v>589</v>
      </c>
      <c r="I6" s="34" t="s">
        <v>590</v>
      </c>
      <c r="J6" s="34" t="s">
        <v>591</v>
      </c>
      <c r="K6" s="34" t="s">
        <v>592</v>
      </c>
      <c r="L6" s="35" t="s">
        <v>590</v>
      </c>
      <c r="M6" s="34" t="s">
        <v>591</v>
      </c>
      <c r="N6" s="34" t="s">
        <v>590</v>
      </c>
      <c r="O6" s="34" t="s">
        <v>591</v>
      </c>
      <c r="P6" s="36" t="s">
        <v>584</v>
      </c>
      <c r="Q6" s="36" t="s">
        <v>585</v>
      </c>
      <c r="R6" s="37" t="s">
        <v>586</v>
      </c>
      <c r="S6" s="37" t="s">
        <v>587</v>
      </c>
      <c r="T6" s="38" t="s">
        <v>593</v>
      </c>
      <c r="U6" s="38" t="s">
        <v>594</v>
      </c>
    </row>
    <row r="7" spans="1:21" x14ac:dyDescent="0.25">
      <c r="A7" s="39">
        <v>1</v>
      </c>
      <c r="B7" s="34">
        <v>2</v>
      </c>
      <c r="C7" s="34">
        <v>3</v>
      </c>
      <c r="D7" s="34">
        <v>4</v>
      </c>
      <c r="E7" s="34">
        <v>5</v>
      </c>
      <c r="F7" s="34">
        <v>6</v>
      </c>
      <c r="G7" s="34">
        <v>7</v>
      </c>
      <c r="H7" s="34">
        <v>8</v>
      </c>
      <c r="I7" s="34">
        <v>9</v>
      </c>
      <c r="J7" s="34">
        <v>10</v>
      </c>
      <c r="K7" s="34">
        <v>11</v>
      </c>
      <c r="L7" s="40">
        <v>12</v>
      </c>
      <c r="M7" s="34">
        <v>13</v>
      </c>
      <c r="N7" s="34">
        <v>14</v>
      </c>
      <c r="O7" s="34">
        <v>15</v>
      </c>
      <c r="P7" s="41">
        <v>7</v>
      </c>
      <c r="Q7" s="41">
        <v>8</v>
      </c>
      <c r="R7" s="37">
        <v>9</v>
      </c>
      <c r="S7" s="37">
        <v>10</v>
      </c>
      <c r="T7" s="38">
        <v>11</v>
      </c>
      <c r="U7" s="38">
        <v>12</v>
      </c>
    </row>
    <row r="8" spans="1:21" s="46" customFormat="1" ht="18" customHeight="1" x14ac:dyDescent="0.25">
      <c r="A8" s="42"/>
      <c r="B8" s="42"/>
      <c r="C8" s="43" t="s">
        <v>595</v>
      </c>
      <c r="D8" s="43"/>
      <c r="E8" s="43">
        <v>107.20499999999998</v>
      </c>
      <c r="F8" s="43">
        <v>80.449999999999989</v>
      </c>
      <c r="G8" s="43"/>
      <c r="H8" s="43"/>
      <c r="I8" s="43"/>
      <c r="J8" s="43"/>
      <c r="K8" s="43"/>
      <c r="L8" s="43">
        <v>23.815000000000005</v>
      </c>
      <c r="M8" s="43">
        <v>0.29601133581097039</v>
      </c>
      <c r="N8" s="43">
        <v>58.527999999999992</v>
      </c>
      <c r="O8" s="43">
        <v>0.72750776880049717</v>
      </c>
      <c r="P8" s="44"/>
      <c r="Q8" s="44"/>
      <c r="R8" s="45">
        <f>SUM(R9:R57)</f>
        <v>117.818</v>
      </c>
      <c r="S8" s="45">
        <f>SUM(S9:S57)</f>
        <v>80.450000000000031</v>
      </c>
      <c r="T8" s="21"/>
      <c r="U8" s="21"/>
    </row>
    <row r="9" spans="1:21" s="21" customFormat="1" x14ac:dyDescent="0.25">
      <c r="A9" s="47">
        <v>444</v>
      </c>
      <c r="B9" s="47">
        <v>3399237</v>
      </c>
      <c r="C9" s="47" t="s">
        <v>596</v>
      </c>
      <c r="D9" s="47" t="s">
        <v>595</v>
      </c>
      <c r="E9" s="47">
        <v>2.4</v>
      </c>
      <c r="F9" s="47">
        <v>2.4</v>
      </c>
      <c r="G9" s="47">
        <v>0</v>
      </c>
      <c r="H9" s="47" t="s">
        <v>597</v>
      </c>
      <c r="I9" s="47"/>
      <c r="J9" s="47"/>
      <c r="K9" s="47"/>
      <c r="L9" s="47">
        <v>1.3</v>
      </c>
      <c r="M9" s="47">
        <v>0.74285714285714288</v>
      </c>
      <c r="N9" s="47">
        <v>1.75</v>
      </c>
      <c r="O9" s="47">
        <v>0.72916666666666674</v>
      </c>
      <c r="P9" s="48" t="s">
        <v>596</v>
      </c>
      <c r="Q9" s="48" t="s">
        <v>595</v>
      </c>
      <c r="R9" s="48">
        <v>1.75</v>
      </c>
      <c r="S9" s="48">
        <v>1.75</v>
      </c>
      <c r="T9" s="49">
        <f>R9-E9</f>
        <v>-0.64999999999999991</v>
      </c>
      <c r="U9" s="49">
        <f t="shared" ref="U9:U57" si="0">S9-F9</f>
        <v>-0.64999999999999991</v>
      </c>
    </row>
    <row r="10" spans="1:21" s="21" customFormat="1" x14ac:dyDescent="0.25">
      <c r="A10" s="49">
        <v>445</v>
      </c>
      <c r="B10" s="49">
        <v>3399212</v>
      </c>
      <c r="C10" s="49" t="s">
        <v>7</v>
      </c>
      <c r="D10" s="49" t="s">
        <v>595</v>
      </c>
      <c r="E10" s="49">
        <v>0.7</v>
      </c>
      <c r="F10" s="49">
        <v>0.7</v>
      </c>
      <c r="G10" s="49">
        <v>0</v>
      </c>
      <c r="H10" s="49" t="s">
        <v>598</v>
      </c>
      <c r="I10" s="49"/>
      <c r="J10" s="49"/>
      <c r="K10" s="49"/>
      <c r="L10" s="49">
        <v>0.4</v>
      </c>
      <c r="M10" s="49">
        <v>0.57142857142857151</v>
      </c>
      <c r="N10" s="49">
        <v>0.59699999999999998</v>
      </c>
      <c r="O10" s="49">
        <v>0.85285714285714287</v>
      </c>
      <c r="P10" s="50" t="s">
        <v>7</v>
      </c>
      <c r="Q10" s="50" t="s">
        <v>595</v>
      </c>
      <c r="R10" s="50">
        <v>0.7</v>
      </c>
      <c r="S10" s="50">
        <v>0.7</v>
      </c>
      <c r="T10" s="49">
        <f t="shared" ref="T10:T57" si="1">R10-E10</f>
        <v>0</v>
      </c>
      <c r="U10" s="49">
        <f t="shared" si="0"/>
        <v>0</v>
      </c>
    </row>
    <row r="11" spans="1:21" s="21" customFormat="1" x14ac:dyDescent="0.25">
      <c r="A11" s="49">
        <v>446</v>
      </c>
      <c r="B11" s="49">
        <v>3399211</v>
      </c>
      <c r="C11" s="49" t="s">
        <v>599</v>
      </c>
      <c r="D11" s="49" t="s">
        <v>595</v>
      </c>
      <c r="E11" s="49">
        <v>1.82</v>
      </c>
      <c r="F11" s="49">
        <v>1.82</v>
      </c>
      <c r="G11" s="49">
        <v>0</v>
      </c>
      <c r="H11" s="49" t="s">
        <v>600</v>
      </c>
      <c r="I11" s="49"/>
      <c r="J11" s="49"/>
      <c r="K11" s="49"/>
      <c r="L11" s="49">
        <v>0.8</v>
      </c>
      <c r="M11" s="49">
        <v>0.5</v>
      </c>
      <c r="N11" s="49">
        <v>0.9</v>
      </c>
      <c r="O11" s="49">
        <v>0.49450549450549453</v>
      </c>
      <c r="P11" s="50" t="s">
        <v>599</v>
      </c>
      <c r="Q11" s="50" t="s">
        <v>595</v>
      </c>
      <c r="R11" s="50">
        <v>2</v>
      </c>
      <c r="S11" s="50">
        <v>2</v>
      </c>
      <c r="T11" s="49">
        <f t="shared" si="1"/>
        <v>0.17999999999999994</v>
      </c>
      <c r="U11" s="49">
        <f t="shared" si="0"/>
        <v>0.17999999999999994</v>
      </c>
    </row>
    <row r="12" spans="1:21" s="21" customFormat="1" x14ac:dyDescent="0.25">
      <c r="A12" s="49">
        <v>447</v>
      </c>
      <c r="B12" s="49">
        <v>3399241</v>
      </c>
      <c r="C12" s="49" t="s">
        <v>601</v>
      </c>
      <c r="D12" s="49" t="s">
        <v>595</v>
      </c>
      <c r="E12" s="49">
        <v>2.76</v>
      </c>
      <c r="F12" s="49">
        <v>2.76</v>
      </c>
      <c r="G12" s="49">
        <v>0</v>
      </c>
      <c r="H12" s="49" t="s">
        <v>602</v>
      </c>
      <c r="I12" s="49"/>
      <c r="J12" s="49"/>
      <c r="K12" s="49"/>
      <c r="L12" s="49">
        <v>1</v>
      </c>
      <c r="M12" s="49">
        <v>0.33333333333333331</v>
      </c>
      <c r="N12" s="49">
        <v>1.7</v>
      </c>
      <c r="O12" s="49">
        <v>0.61594202898550732</v>
      </c>
      <c r="P12" s="50" t="s">
        <v>601</v>
      </c>
      <c r="Q12" s="50" t="s">
        <v>595</v>
      </c>
      <c r="R12" s="50">
        <v>3</v>
      </c>
      <c r="S12" s="50">
        <v>3</v>
      </c>
      <c r="T12" s="49">
        <f t="shared" si="1"/>
        <v>0.24000000000000021</v>
      </c>
      <c r="U12" s="49">
        <f t="shared" si="0"/>
        <v>0.24000000000000021</v>
      </c>
    </row>
    <row r="13" spans="1:21" s="21" customFormat="1" x14ac:dyDescent="0.25">
      <c r="A13" s="50">
        <v>448</v>
      </c>
      <c r="B13" s="50">
        <v>3399231</v>
      </c>
      <c r="C13" s="50" t="s">
        <v>603</v>
      </c>
      <c r="D13" s="50" t="s">
        <v>595</v>
      </c>
      <c r="E13" s="50">
        <v>2.2200000000000002</v>
      </c>
      <c r="F13" s="50">
        <v>2.2200000000000002</v>
      </c>
      <c r="G13" s="50">
        <v>0</v>
      </c>
      <c r="H13" s="50" t="s">
        <v>604</v>
      </c>
      <c r="I13" s="50"/>
      <c r="J13" s="50"/>
      <c r="K13" s="50"/>
      <c r="L13" s="50">
        <v>0.3</v>
      </c>
      <c r="M13" s="50">
        <v>0.13525698827772767</v>
      </c>
      <c r="N13" s="50">
        <v>2.2200000000000002</v>
      </c>
      <c r="O13" s="50">
        <v>1</v>
      </c>
      <c r="P13" s="51" t="s">
        <v>603</v>
      </c>
      <c r="Q13" s="51" t="s">
        <v>595</v>
      </c>
      <c r="R13" s="51">
        <v>2.218</v>
      </c>
      <c r="S13" s="51">
        <v>2.218</v>
      </c>
      <c r="T13" s="49">
        <f t="shared" si="1"/>
        <v>-2.0000000000002238E-3</v>
      </c>
      <c r="U13" s="49">
        <f t="shared" si="0"/>
        <v>-2.0000000000002238E-3</v>
      </c>
    </row>
    <row r="14" spans="1:21" s="21" customFormat="1" x14ac:dyDescent="0.25">
      <c r="A14" s="47">
        <v>449</v>
      </c>
      <c r="B14" s="47">
        <v>3399225</v>
      </c>
      <c r="C14" s="47" t="s">
        <v>605</v>
      </c>
      <c r="D14" s="47" t="s">
        <v>595</v>
      </c>
      <c r="E14" s="47">
        <v>1.94</v>
      </c>
      <c r="F14" s="47">
        <v>1.94</v>
      </c>
      <c r="G14" s="47">
        <v>0</v>
      </c>
      <c r="H14" s="47" t="s">
        <v>606</v>
      </c>
      <c r="I14" s="47"/>
      <c r="J14" s="47"/>
      <c r="K14" s="47"/>
      <c r="L14" s="47">
        <v>1</v>
      </c>
      <c r="M14" s="47">
        <v>0.5</v>
      </c>
      <c r="N14" s="47">
        <v>1.3</v>
      </c>
      <c r="O14" s="47">
        <v>0.67010309278350522</v>
      </c>
      <c r="P14" s="48" t="s">
        <v>605</v>
      </c>
      <c r="Q14" s="48" t="s">
        <v>595</v>
      </c>
      <c r="R14" s="48">
        <v>2</v>
      </c>
      <c r="S14" s="48">
        <v>1.76</v>
      </c>
      <c r="T14" s="49">
        <f t="shared" si="1"/>
        <v>6.0000000000000053E-2</v>
      </c>
      <c r="U14" s="49">
        <f t="shared" si="0"/>
        <v>-0.17999999999999994</v>
      </c>
    </row>
    <row r="15" spans="1:21" s="21" customFormat="1" x14ac:dyDescent="0.25">
      <c r="A15" s="49">
        <v>450</v>
      </c>
      <c r="B15" s="49">
        <v>3399222</v>
      </c>
      <c r="C15" s="49" t="s">
        <v>607</v>
      </c>
      <c r="D15" s="49" t="s">
        <v>595</v>
      </c>
      <c r="E15" s="49">
        <v>2.0299999999999998</v>
      </c>
      <c r="F15" s="49">
        <v>2.0299999999999998</v>
      </c>
      <c r="G15" s="49">
        <v>0</v>
      </c>
      <c r="H15" s="49" t="s">
        <v>608</v>
      </c>
      <c r="I15" s="49"/>
      <c r="J15" s="49"/>
      <c r="K15" s="49"/>
      <c r="L15" s="49">
        <v>0.4</v>
      </c>
      <c r="M15" s="49">
        <v>0.22222222222222224</v>
      </c>
      <c r="N15" s="49">
        <v>2.0299999999999998</v>
      </c>
      <c r="O15" s="49">
        <v>1</v>
      </c>
      <c r="P15" s="50" t="s">
        <v>607</v>
      </c>
      <c r="Q15" s="50" t="s">
        <v>595</v>
      </c>
      <c r="R15" s="50">
        <v>1.8</v>
      </c>
      <c r="S15" s="50">
        <v>1.8</v>
      </c>
      <c r="T15" s="49">
        <f t="shared" si="1"/>
        <v>-0.22999999999999976</v>
      </c>
      <c r="U15" s="49">
        <f t="shared" si="0"/>
        <v>-0.22999999999999976</v>
      </c>
    </row>
    <row r="16" spans="1:21" s="21" customFormat="1" x14ac:dyDescent="0.25">
      <c r="A16" s="49">
        <v>451</v>
      </c>
      <c r="B16" s="49">
        <v>3399214</v>
      </c>
      <c r="C16" s="49" t="s">
        <v>609</v>
      </c>
      <c r="D16" s="49" t="s">
        <v>595</v>
      </c>
      <c r="E16" s="49">
        <v>5</v>
      </c>
      <c r="F16" s="49">
        <v>5</v>
      </c>
      <c r="G16" s="49">
        <v>0</v>
      </c>
      <c r="H16" s="49" t="s">
        <v>610</v>
      </c>
      <c r="I16" s="49"/>
      <c r="J16" s="49"/>
      <c r="K16" s="49"/>
      <c r="L16" s="49">
        <v>1</v>
      </c>
      <c r="M16" s="49">
        <v>0.2</v>
      </c>
      <c r="N16" s="49">
        <v>5</v>
      </c>
      <c r="O16" s="49">
        <v>1</v>
      </c>
      <c r="P16" s="50" t="s">
        <v>609</v>
      </c>
      <c r="Q16" s="50" t="s">
        <v>595</v>
      </c>
      <c r="R16" s="50">
        <v>5</v>
      </c>
      <c r="S16" s="50">
        <v>5</v>
      </c>
      <c r="T16" s="49">
        <f t="shared" si="1"/>
        <v>0</v>
      </c>
      <c r="U16" s="49">
        <f t="shared" si="0"/>
        <v>0</v>
      </c>
    </row>
    <row r="17" spans="1:21" s="21" customFormat="1" x14ac:dyDescent="0.25">
      <c r="A17" s="49">
        <v>452</v>
      </c>
      <c r="B17" s="49">
        <v>3399227</v>
      </c>
      <c r="C17" s="49" t="s">
        <v>611</v>
      </c>
      <c r="D17" s="49" t="s">
        <v>595</v>
      </c>
      <c r="E17" s="49">
        <v>0.67</v>
      </c>
      <c r="F17" s="49">
        <v>0.67</v>
      </c>
      <c r="G17" s="49">
        <v>0</v>
      </c>
      <c r="H17" s="49" t="s">
        <v>612</v>
      </c>
      <c r="I17" s="49"/>
      <c r="J17" s="49"/>
      <c r="K17" s="49"/>
      <c r="L17" s="49">
        <v>0.25</v>
      </c>
      <c r="M17" s="49">
        <v>0.5</v>
      </c>
      <c r="N17" s="49">
        <v>0.6</v>
      </c>
      <c r="O17" s="49">
        <v>0.89552238805970141</v>
      </c>
      <c r="P17" s="50" t="s">
        <v>611</v>
      </c>
      <c r="Q17" s="50" t="s">
        <v>595</v>
      </c>
      <c r="R17" s="50">
        <v>0.5</v>
      </c>
      <c r="S17" s="50">
        <v>0.5</v>
      </c>
      <c r="T17" s="49">
        <f t="shared" si="1"/>
        <v>-0.17000000000000004</v>
      </c>
      <c r="U17" s="49">
        <f t="shared" si="0"/>
        <v>-0.17000000000000004</v>
      </c>
    </row>
    <row r="18" spans="1:21" s="21" customFormat="1" x14ac:dyDescent="0.25">
      <c r="A18" s="49">
        <v>453</v>
      </c>
      <c r="B18" s="49">
        <v>3399221</v>
      </c>
      <c r="C18" s="49" t="s">
        <v>613</v>
      </c>
      <c r="D18" s="49" t="s">
        <v>595</v>
      </c>
      <c r="E18" s="49">
        <v>2.1</v>
      </c>
      <c r="F18" s="49">
        <v>2.1</v>
      </c>
      <c r="G18" s="49">
        <v>0</v>
      </c>
      <c r="H18" s="49" t="s">
        <v>614</v>
      </c>
      <c r="I18" s="49"/>
      <c r="J18" s="49"/>
      <c r="K18" s="49"/>
      <c r="L18" s="49">
        <v>0.4</v>
      </c>
      <c r="M18" s="49">
        <v>0.26666666666666666</v>
      </c>
      <c r="N18" s="49">
        <v>1.9</v>
      </c>
      <c r="O18" s="49">
        <v>0.90476190476190466</v>
      </c>
      <c r="P18" s="50" t="s">
        <v>613</v>
      </c>
      <c r="Q18" s="50" t="s">
        <v>595</v>
      </c>
      <c r="R18" s="50">
        <v>1.5</v>
      </c>
      <c r="S18" s="50">
        <v>1.5</v>
      </c>
      <c r="T18" s="49">
        <f t="shared" si="1"/>
        <v>-0.60000000000000009</v>
      </c>
      <c r="U18" s="49">
        <f t="shared" si="0"/>
        <v>-0.60000000000000009</v>
      </c>
    </row>
    <row r="19" spans="1:21" s="21" customFormat="1" x14ac:dyDescent="0.25">
      <c r="A19" s="47">
        <v>454</v>
      </c>
      <c r="B19" s="47">
        <v>3399210</v>
      </c>
      <c r="C19" s="47" t="s">
        <v>615</v>
      </c>
      <c r="D19" s="47" t="s">
        <v>595</v>
      </c>
      <c r="E19" s="47">
        <v>4.2</v>
      </c>
      <c r="F19" s="47">
        <v>4.2</v>
      </c>
      <c r="G19" s="47">
        <v>0</v>
      </c>
      <c r="H19" s="47" t="s">
        <v>616</v>
      </c>
      <c r="I19" s="47"/>
      <c r="J19" s="47"/>
      <c r="K19" s="47"/>
      <c r="L19" s="47">
        <v>1.2</v>
      </c>
      <c r="M19" s="47">
        <v>0.35294117647058826</v>
      </c>
      <c r="N19" s="47">
        <v>3.8</v>
      </c>
      <c r="O19" s="47">
        <v>0.90476190476190466</v>
      </c>
      <c r="P19" s="48" t="s">
        <v>615</v>
      </c>
      <c r="Q19" s="48" t="s">
        <v>595</v>
      </c>
      <c r="R19" s="48">
        <v>3.5</v>
      </c>
      <c r="S19" s="48">
        <v>3.5</v>
      </c>
      <c r="T19" s="49">
        <f t="shared" si="1"/>
        <v>-0.70000000000000018</v>
      </c>
      <c r="U19" s="49">
        <f t="shared" si="0"/>
        <v>-0.70000000000000018</v>
      </c>
    </row>
    <row r="20" spans="1:21" s="21" customFormat="1" x14ac:dyDescent="0.25">
      <c r="A20" s="49">
        <v>455</v>
      </c>
      <c r="B20" s="49">
        <v>3399216</v>
      </c>
      <c r="C20" s="49" t="s">
        <v>118</v>
      </c>
      <c r="D20" s="49" t="s">
        <v>595</v>
      </c>
      <c r="E20" s="49">
        <v>2.78</v>
      </c>
      <c r="F20" s="49">
        <v>2.78</v>
      </c>
      <c r="G20" s="49">
        <v>0</v>
      </c>
      <c r="H20" s="49" t="s">
        <v>617</v>
      </c>
      <c r="I20" s="49"/>
      <c r="J20" s="49"/>
      <c r="K20" s="49"/>
      <c r="L20" s="49">
        <v>0.5</v>
      </c>
      <c r="M20" s="49">
        <v>0.16666666666666666</v>
      </c>
      <c r="N20" s="49">
        <v>0.9</v>
      </c>
      <c r="O20" s="49">
        <v>0.32374100719424465</v>
      </c>
      <c r="P20" s="50" t="s">
        <v>118</v>
      </c>
      <c r="Q20" s="50" t="s">
        <v>595</v>
      </c>
      <c r="R20" s="50">
        <v>3</v>
      </c>
      <c r="S20" s="50">
        <v>3</v>
      </c>
      <c r="T20" s="49">
        <f t="shared" si="1"/>
        <v>0.2200000000000002</v>
      </c>
      <c r="U20" s="49">
        <f t="shared" si="0"/>
        <v>0.2200000000000002</v>
      </c>
    </row>
    <row r="21" spans="1:21" s="21" customFormat="1" x14ac:dyDescent="0.25">
      <c r="A21" s="49">
        <v>456</v>
      </c>
      <c r="B21" s="49">
        <v>3399209</v>
      </c>
      <c r="C21" s="49" t="s">
        <v>124</v>
      </c>
      <c r="D21" s="49" t="s">
        <v>595</v>
      </c>
      <c r="E21" s="49">
        <v>1.97</v>
      </c>
      <c r="F21" s="49">
        <v>1.97</v>
      </c>
      <c r="G21" s="49">
        <v>0</v>
      </c>
      <c r="H21" s="49" t="s">
        <v>618</v>
      </c>
      <c r="I21" s="49"/>
      <c r="J21" s="49"/>
      <c r="K21" s="49"/>
      <c r="L21" s="49">
        <v>0.66500000000000004</v>
      </c>
      <c r="M21" s="49">
        <v>0.33842239185750639</v>
      </c>
      <c r="N21" s="49">
        <v>2.1</v>
      </c>
      <c r="O21" s="49">
        <v>1.0659898477157361</v>
      </c>
      <c r="P21" s="48" t="s">
        <v>124</v>
      </c>
      <c r="Q21" s="50" t="s">
        <v>595</v>
      </c>
      <c r="R21" s="50">
        <v>1.9650000000000001</v>
      </c>
      <c r="S21" s="50">
        <v>1.9650000000000001</v>
      </c>
      <c r="T21" s="49">
        <f t="shared" si="1"/>
        <v>-4.9999999999998934E-3</v>
      </c>
      <c r="U21" s="49">
        <f t="shared" si="0"/>
        <v>-4.9999999999998934E-3</v>
      </c>
    </row>
    <row r="22" spans="1:21" s="21" customFormat="1" x14ac:dyDescent="0.25">
      <c r="A22" s="47">
        <v>457</v>
      </c>
      <c r="B22" s="47">
        <v>3399228</v>
      </c>
      <c r="C22" s="47" t="s">
        <v>619</v>
      </c>
      <c r="D22" s="47" t="s">
        <v>595</v>
      </c>
      <c r="E22" s="47">
        <v>2</v>
      </c>
      <c r="F22" s="47">
        <v>2</v>
      </c>
      <c r="G22" s="47">
        <v>0</v>
      </c>
      <c r="H22" s="47" t="s">
        <v>620</v>
      </c>
      <c r="I22" s="47"/>
      <c r="J22" s="47"/>
      <c r="K22" s="47"/>
      <c r="L22" s="47">
        <v>1</v>
      </c>
      <c r="M22" s="47">
        <v>0.5</v>
      </c>
      <c r="N22" s="47">
        <v>1.5820000000000001</v>
      </c>
      <c r="O22" s="47">
        <v>0.79100000000000004</v>
      </c>
      <c r="P22" s="48" t="s">
        <v>619</v>
      </c>
      <c r="Q22" s="48" t="s">
        <v>595</v>
      </c>
      <c r="R22" s="48">
        <v>2</v>
      </c>
      <c r="S22" s="48">
        <v>2</v>
      </c>
      <c r="T22" s="49">
        <f t="shared" si="1"/>
        <v>0</v>
      </c>
      <c r="U22" s="49">
        <f t="shared" si="0"/>
        <v>0</v>
      </c>
    </row>
    <row r="23" spans="1:21" s="21" customFormat="1" x14ac:dyDescent="0.25">
      <c r="A23" s="49">
        <v>458</v>
      </c>
      <c r="B23" s="49">
        <v>3399229</v>
      </c>
      <c r="C23" s="49" t="s">
        <v>178</v>
      </c>
      <c r="D23" s="49" t="s">
        <v>595</v>
      </c>
      <c r="E23" s="49">
        <v>4</v>
      </c>
      <c r="F23" s="49">
        <v>4</v>
      </c>
      <c r="G23" s="49">
        <v>0</v>
      </c>
      <c r="H23" s="49" t="s">
        <v>621</v>
      </c>
      <c r="I23" s="49"/>
      <c r="J23" s="49"/>
      <c r="K23" s="49"/>
      <c r="L23" s="49">
        <v>0.8</v>
      </c>
      <c r="M23" s="49">
        <v>0.2</v>
      </c>
      <c r="N23" s="49">
        <v>4</v>
      </c>
      <c r="O23" s="49">
        <v>1</v>
      </c>
      <c r="P23" s="50" t="s">
        <v>178</v>
      </c>
      <c r="Q23" s="50" t="s">
        <v>595</v>
      </c>
      <c r="R23" s="50">
        <v>4</v>
      </c>
      <c r="S23" s="50">
        <v>4</v>
      </c>
      <c r="T23" s="49">
        <f t="shared" si="1"/>
        <v>0</v>
      </c>
      <c r="U23" s="49">
        <f t="shared" si="0"/>
        <v>0</v>
      </c>
    </row>
    <row r="24" spans="1:21" s="21" customFormat="1" x14ac:dyDescent="0.25">
      <c r="A24" s="47">
        <v>459</v>
      </c>
      <c r="B24" s="47">
        <v>3399232</v>
      </c>
      <c r="C24" s="47" t="s">
        <v>190</v>
      </c>
      <c r="D24" s="47" t="s">
        <v>595</v>
      </c>
      <c r="E24" s="47">
        <v>0.9</v>
      </c>
      <c r="F24" s="47">
        <v>0.9</v>
      </c>
      <c r="G24" s="47">
        <v>0</v>
      </c>
      <c r="H24" s="47" t="s">
        <v>622</v>
      </c>
      <c r="I24" s="47"/>
      <c r="J24" s="47"/>
      <c r="K24" s="47"/>
      <c r="L24" s="47">
        <v>0.2</v>
      </c>
      <c r="M24" s="47">
        <v>0.25</v>
      </c>
      <c r="N24" s="47">
        <v>0.1</v>
      </c>
      <c r="O24" s="47">
        <v>0.11111111111111112</v>
      </c>
      <c r="P24" s="48" t="s">
        <v>190</v>
      </c>
      <c r="Q24" s="48" t="s">
        <v>595</v>
      </c>
      <c r="R24" s="48">
        <v>2.5</v>
      </c>
      <c r="S24" s="48">
        <v>1.2</v>
      </c>
      <c r="T24" s="49">
        <f t="shared" si="1"/>
        <v>1.6</v>
      </c>
      <c r="U24" s="49">
        <f t="shared" si="0"/>
        <v>0.29999999999999993</v>
      </c>
    </row>
    <row r="25" spans="1:21" s="21" customFormat="1" x14ac:dyDescent="0.25">
      <c r="A25" s="49">
        <v>460</v>
      </c>
      <c r="B25" s="49">
        <v>3399226</v>
      </c>
      <c r="C25" s="49" t="s">
        <v>623</v>
      </c>
      <c r="D25" s="49" t="s">
        <v>595</v>
      </c>
      <c r="E25" s="49">
        <v>3</v>
      </c>
      <c r="F25" s="49">
        <v>3</v>
      </c>
      <c r="G25" s="49">
        <v>0</v>
      </c>
      <c r="H25" s="49" t="s">
        <v>624</v>
      </c>
      <c r="I25" s="49"/>
      <c r="J25" s="49"/>
      <c r="K25" s="49"/>
      <c r="L25" s="49">
        <v>0.5</v>
      </c>
      <c r="M25" s="49">
        <v>0.4098360655737705</v>
      </c>
      <c r="N25" s="49">
        <v>0.79700000000000004</v>
      </c>
      <c r="O25" s="49">
        <v>0.26566666666666666</v>
      </c>
      <c r="P25" s="48" t="s">
        <v>623</v>
      </c>
      <c r="Q25" s="50" t="s">
        <v>595</v>
      </c>
      <c r="R25" s="50">
        <v>1.22</v>
      </c>
      <c r="S25" s="50">
        <v>1.22</v>
      </c>
      <c r="T25" s="49">
        <f t="shared" si="1"/>
        <v>-1.78</v>
      </c>
      <c r="U25" s="49">
        <f t="shared" si="0"/>
        <v>-1.78</v>
      </c>
    </row>
    <row r="26" spans="1:21" s="21" customFormat="1" x14ac:dyDescent="0.25">
      <c r="A26" s="52">
        <v>461</v>
      </c>
      <c r="B26" s="52">
        <v>3399224</v>
      </c>
      <c r="C26" s="52" t="s">
        <v>625</v>
      </c>
      <c r="D26" s="52" t="s">
        <v>595</v>
      </c>
      <c r="E26" s="52">
        <v>1.5</v>
      </c>
      <c r="F26" s="52">
        <v>1.5</v>
      </c>
      <c r="G26" s="52" t="s">
        <v>626</v>
      </c>
      <c r="H26" s="52" t="s">
        <v>627</v>
      </c>
      <c r="I26" s="52"/>
      <c r="J26" s="52"/>
      <c r="K26" s="52"/>
      <c r="L26" s="52">
        <v>0.5</v>
      </c>
      <c r="M26" s="52">
        <v>0.33333333333333331</v>
      </c>
      <c r="N26" s="52">
        <v>1.5</v>
      </c>
      <c r="O26" s="52">
        <v>1</v>
      </c>
      <c r="P26" s="51" t="s">
        <v>625</v>
      </c>
      <c r="Q26" s="51" t="s">
        <v>595</v>
      </c>
      <c r="R26" s="51">
        <v>3.2</v>
      </c>
      <c r="S26" s="51">
        <v>3.2</v>
      </c>
      <c r="T26" s="49">
        <f t="shared" si="1"/>
        <v>1.7000000000000002</v>
      </c>
      <c r="U26" s="49">
        <f t="shared" si="0"/>
        <v>1.7000000000000002</v>
      </c>
    </row>
    <row r="27" spans="1:21" s="21" customFormat="1" x14ac:dyDescent="0.25">
      <c r="A27" s="47">
        <v>462</v>
      </c>
      <c r="B27" s="47">
        <v>3399223</v>
      </c>
      <c r="C27" s="47" t="s">
        <v>628</v>
      </c>
      <c r="D27" s="47" t="s">
        <v>595</v>
      </c>
      <c r="E27" s="47">
        <v>1.4</v>
      </c>
      <c r="F27" s="47">
        <v>1.4</v>
      </c>
      <c r="G27" s="47">
        <v>0</v>
      </c>
      <c r="H27" s="47" t="s">
        <v>629</v>
      </c>
      <c r="I27" s="47"/>
      <c r="J27" s="47"/>
      <c r="K27" s="47"/>
      <c r="L27" s="47">
        <v>0.5</v>
      </c>
      <c r="M27" s="47">
        <v>0.125</v>
      </c>
      <c r="N27" s="47">
        <v>0.5</v>
      </c>
      <c r="O27" s="47">
        <v>0.35714285714285715</v>
      </c>
      <c r="P27" s="48" t="s">
        <v>628</v>
      </c>
      <c r="Q27" s="48" t="s">
        <v>595</v>
      </c>
      <c r="R27" s="48">
        <v>4</v>
      </c>
      <c r="S27" s="48">
        <v>2.46</v>
      </c>
      <c r="T27" s="49">
        <f t="shared" si="1"/>
        <v>2.6</v>
      </c>
      <c r="U27" s="49">
        <f t="shared" si="0"/>
        <v>1.06</v>
      </c>
    </row>
    <row r="28" spans="1:21" s="21" customFormat="1" x14ac:dyDescent="0.25">
      <c r="A28" s="49">
        <v>463</v>
      </c>
      <c r="B28" s="49">
        <v>3399235</v>
      </c>
      <c r="C28" s="49" t="s">
        <v>630</v>
      </c>
      <c r="D28" s="49" t="s">
        <v>595</v>
      </c>
      <c r="E28" s="49">
        <v>1.39</v>
      </c>
      <c r="F28" s="49">
        <v>1.39</v>
      </c>
      <c r="G28" s="49">
        <v>0</v>
      </c>
      <c r="H28" s="49" t="s">
        <v>631</v>
      </c>
      <c r="I28" s="49"/>
      <c r="J28" s="49"/>
      <c r="K28" s="49"/>
      <c r="L28" s="49">
        <v>0.4</v>
      </c>
      <c r="M28" s="49">
        <v>0.26666666666666666</v>
      </c>
      <c r="N28" s="49">
        <v>1.1000000000000001</v>
      </c>
      <c r="O28" s="49">
        <v>0.79136690647482022</v>
      </c>
      <c r="P28" s="50" t="s">
        <v>630</v>
      </c>
      <c r="Q28" s="50" t="s">
        <v>595</v>
      </c>
      <c r="R28" s="50">
        <v>2.5</v>
      </c>
      <c r="S28" s="50">
        <v>1.5</v>
      </c>
      <c r="T28" s="49">
        <f t="shared" si="1"/>
        <v>1.1100000000000001</v>
      </c>
      <c r="U28" s="49">
        <f t="shared" si="0"/>
        <v>0.1100000000000001</v>
      </c>
    </row>
    <row r="29" spans="1:21" s="21" customFormat="1" x14ac:dyDescent="0.25">
      <c r="A29" s="49">
        <v>464</v>
      </c>
      <c r="B29" s="49">
        <v>3399240</v>
      </c>
      <c r="C29" s="49" t="s">
        <v>632</v>
      </c>
      <c r="D29" s="49" t="s">
        <v>595</v>
      </c>
      <c r="E29" s="49">
        <v>2.66</v>
      </c>
      <c r="F29" s="49">
        <v>2.66</v>
      </c>
      <c r="G29" s="49">
        <v>0</v>
      </c>
      <c r="H29" s="49" t="s">
        <v>633</v>
      </c>
      <c r="I29" s="49"/>
      <c r="J29" s="49"/>
      <c r="K29" s="49"/>
      <c r="L29" s="49">
        <v>0.3</v>
      </c>
      <c r="M29" s="49">
        <v>0.15</v>
      </c>
      <c r="N29" s="49">
        <v>2.1</v>
      </c>
      <c r="O29" s="49">
        <v>0.78947368421052633</v>
      </c>
      <c r="P29" s="48" t="s">
        <v>632</v>
      </c>
      <c r="Q29" s="50" t="s">
        <v>595</v>
      </c>
      <c r="R29" s="50">
        <v>5</v>
      </c>
      <c r="S29" s="50">
        <v>2</v>
      </c>
      <c r="T29" s="49">
        <f t="shared" si="1"/>
        <v>2.34</v>
      </c>
      <c r="U29" s="49">
        <f t="shared" si="0"/>
        <v>-0.66000000000000014</v>
      </c>
    </row>
    <row r="30" spans="1:21" s="21" customFormat="1" x14ac:dyDescent="0.25">
      <c r="A30" s="49">
        <v>465</v>
      </c>
      <c r="B30" s="49">
        <v>3399218</v>
      </c>
      <c r="C30" s="49" t="s">
        <v>634</v>
      </c>
      <c r="D30" s="49" t="s">
        <v>595</v>
      </c>
      <c r="E30" s="49">
        <v>1.5</v>
      </c>
      <c r="F30" s="49">
        <v>0.48</v>
      </c>
      <c r="G30" s="49">
        <v>0</v>
      </c>
      <c r="H30" s="49" t="s">
        <v>635</v>
      </c>
      <c r="I30" s="49"/>
      <c r="J30" s="49"/>
      <c r="K30" s="49"/>
      <c r="L30" s="49">
        <v>0.2</v>
      </c>
      <c r="M30" s="49">
        <v>0.4</v>
      </c>
      <c r="N30" s="49">
        <v>0.48</v>
      </c>
      <c r="O30" s="49">
        <v>1</v>
      </c>
      <c r="P30" s="50" t="s">
        <v>634</v>
      </c>
      <c r="Q30" s="50" t="s">
        <v>595</v>
      </c>
      <c r="R30" s="50">
        <v>1.5</v>
      </c>
      <c r="S30" s="50">
        <v>0.5</v>
      </c>
      <c r="T30" s="49">
        <f t="shared" si="1"/>
        <v>0</v>
      </c>
      <c r="U30" s="49">
        <f t="shared" si="0"/>
        <v>2.0000000000000018E-2</v>
      </c>
    </row>
    <row r="31" spans="1:21" s="21" customFormat="1" x14ac:dyDescent="0.25">
      <c r="A31" s="49">
        <v>466</v>
      </c>
      <c r="B31" s="49">
        <v>3399245</v>
      </c>
      <c r="C31" s="49" t="s">
        <v>636</v>
      </c>
      <c r="D31" s="49" t="s">
        <v>595</v>
      </c>
      <c r="E31" s="49">
        <v>3.3</v>
      </c>
      <c r="F31" s="49">
        <v>2.1</v>
      </c>
      <c r="G31" s="49">
        <v>0</v>
      </c>
      <c r="H31" s="49" t="s">
        <v>614</v>
      </c>
      <c r="I31" s="49"/>
      <c r="J31" s="49"/>
      <c r="K31" s="49"/>
      <c r="L31" s="49">
        <v>0.5</v>
      </c>
      <c r="M31" s="49">
        <v>0.29411764705882354</v>
      </c>
      <c r="N31" s="49">
        <v>1</v>
      </c>
      <c r="O31" s="49">
        <v>0.47619047619047616</v>
      </c>
      <c r="P31" s="50" t="s">
        <v>636</v>
      </c>
      <c r="Q31" s="50" t="s">
        <v>595</v>
      </c>
      <c r="R31" s="50">
        <v>3.3</v>
      </c>
      <c r="S31" s="50">
        <v>2.1</v>
      </c>
      <c r="T31" s="49">
        <f t="shared" si="1"/>
        <v>0</v>
      </c>
      <c r="U31" s="49">
        <f t="shared" si="0"/>
        <v>0</v>
      </c>
    </row>
    <row r="32" spans="1:21" s="21" customFormat="1" x14ac:dyDescent="0.25">
      <c r="A32" s="49">
        <v>467</v>
      </c>
      <c r="B32" s="49">
        <v>3399219</v>
      </c>
      <c r="C32" s="49" t="s">
        <v>637</v>
      </c>
      <c r="D32" s="49" t="s">
        <v>595</v>
      </c>
      <c r="E32" s="49">
        <v>2.5</v>
      </c>
      <c r="F32" s="49">
        <v>1.94</v>
      </c>
      <c r="G32" s="49">
        <v>0</v>
      </c>
      <c r="H32" s="49" t="s">
        <v>606</v>
      </c>
      <c r="I32" s="49"/>
      <c r="J32" s="49"/>
      <c r="K32" s="49"/>
      <c r="L32" s="49">
        <v>1</v>
      </c>
      <c r="M32" s="49">
        <v>0.5</v>
      </c>
      <c r="N32" s="49">
        <v>1.794</v>
      </c>
      <c r="O32" s="49">
        <v>0.92474226804123716</v>
      </c>
      <c r="P32" s="48" t="s">
        <v>637</v>
      </c>
      <c r="Q32" s="50" t="s">
        <v>595</v>
      </c>
      <c r="R32" s="50">
        <v>2.5</v>
      </c>
      <c r="S32" s="50">
        <v>2</v>
      </c>
      <c r="T32" s="49">
        <f t="shared" si="1"/>
        <v>0</v>
      </c>
      <c r="U32" s="49">
        <f t="shared" si="0"/>
        <v>6.0000000000000053E-2</v>
      </c>
    </row>
    <row r="33" spans="1:21" s="21" customFormat="1" x14ac:dyDescent="0.25">
      <c r="A33" s="49">
        <v>468</v>
      </c>
      <c r="B33" s="49">
        <v>3399239</v>
      </c>
      <c r="C33" s="49" t="s">
        <v>638</v>
      </c>
      <c r="D33" s="49" t="s">
        <v>595</v>
      </c>
      <c r="E33" s="49">
        <v>2.4</v>
      </c>
      <c r="F33" s="49">
        <v>1</v>
      </c>
      <c r="G33" s="49">
        <v>0</v>
      </c>
      <c r="H33" s="49" t="s">
        <v>639</v>
      </c>
      <c r="I33" s="49"/>
      <c r="J33" s="49"/>
      <c r="K33" s="49"/>
      <c r="L33" s="49">
        <v>0.4</v>
      </c>
      <c r="M33" s="49">
        <v>0.4</v>
      </c>
      <c r="N33" s="49">
        <v>0.4</v>
      </c>
      <c r="O33" s="49">
        <v>0.4</v>
      </c>
      <c r="P33" s="50" t="s">
        <v>638</v>
      </c>
      <c r="Q33" s="50" t="s">
        <v>595</v>
      </c>
      <c r="R33" s="50">
        <v>2.4</v>
      </c>
      <c r="S33" s="50">
        <v>1</v>
      </c>
      <c r="T33" s="49">
        <f t="shared" si="1"/>
        <v>0</v>
      </c>
      <c r="U33" s="49">
        <f t="shared" si="0"/>
        <v>0</v>
      </c>
    </row>
    <row r="34" spans="1:21" s="21" customFormat="1" x14ac:dyDescent="0.25">
      <c r="A34" s="49">
        <v>469</v>
      </c>
      <c r="B34" s="49">
        <v>3399220</v>
      </c>
      <c r="C34" s="49" t="s">
        <v>640</v>
      </c>
      <c r="D34" s="49" t="s">
        <v>595</v>
      </c>
      <c r="E34" s="49">
        <v>1.7</v>
      </c>
      <c r="F34" s="49">
        <v>1.74</v>
      </c>
      <c r="G34" s="49">
        <v>0</v>
      </c>
      <c r="H34" s="49" t="s">
        <v>641</v>
      </c>
      <c r="I34" s="49"/>
      <c r="J34" s="49"/>
      <c r="K34" s="49"/>
      <c r="L34" s="49">
        <v>0.3</v>
      </c>
      <c r="M34" s="49">
        <v>0.17647058823529413</v>
      </c>
      <c r="N34" s="49">
        <v>0.78800000000000003</v>
      </c>
      <c r="O34" s="49">
        <v>0.45287356321839084</v>
      </c>
      <c r="P34" s="50" t="s">
        <v>640</v>
      </c>
      <c r="Q34" s="50" t="s">
        <v>595</v>
      </c>
      <c r="R34" s="50">
        <v>1.7</v>
      </c>
      <c r="S34" s="50">
        <v>1.7</v>
      </c>
      <c r="T34" s="49">
        <f t="shared" si="1"/>
        <v>0</v>
      </c>
      <c r="U34" s="49">
        <f t="shared" si="0"/>
        <v>-4.0000000000000036E-2</v>
      </c>
    </row>
    <row r="35" spans="1:21" s="21" customFormat="1" x14ac:dyDescent="0.25">
      <c r="A35" s="49">
        <v>470</v>
      </c>
      <c r="B35" s="49">
        <v>3399246</v>
      </c>
      <c r="C35" s="49" t="s">
        <v>642</v>
      </c>
      <c r="D35" s="49" t="s">
        <v>595</v>
      </c>
      <c r="E35" s="49">
        <v>3.0449999999999999</v>
      </c>
      <c r="F35" s="49">
        <v>1.2</v>
      </c>
      <c r="G35" s="49">
        <v>0</v>
      </c>
      <c r="H35" s="49" t="s">
        <v>643</v>
      </c>
      <c r="I35" s="49"/>
      <c r="J35" s="49"/>
      <c r="K35" s="49"/>
      <c r="L35" s="49">
        <v>0.2</v>
      </c>
      <c r="M35" s="49">
        <v>0.2</v>
      </c>
      <c r="N35" s="49">
        <v>0.78600000000000003</v>
      </c>
      <c r="O35" s="49">
        <v>0.65500000000000003</v>
      </c>
      <c r="P35" s="50" t="s">
        <v>642</v>
      </c>
      <c r="Q35" s="50" t="s">
        <v>595</v>
      </c>
      <c r="R35" s="50">
        <v>3.0449999999999999</v>
      </c>
      <c r="S35" s="50">
        <v>1.006</v>
      </c>
      <c r="T35" s="49">
        <f t="shared" si="1"/>
        <v>0</v>
      </c>
      <c r="U35" s="49">
        <f t="shared" si="0"/>
        <v>-0.19399999999999995</v>
      </c>
    </row>
    <row r="36" spans="1:21" s="21" customFormat="1" x14ac:dyDescent="0.25">
      <c r="A36" s="49">
        <v>471</v>
      </c>
      <c r="B36" s="49">
        <v>3399242</v>
      </c>
      <c r="C36" s="49" t="s">
        <v>644</v>
      </c>
      <c r="D36" s="49" t="s">
        <v>595</v>
      </c>
      <c r="E36" s="49">
        <v>4.32</v>
      </c>
      <c r="F36" s="49">
        <v>0.41</v>
      </c>
      <c r="G36" s="49">
        <v>0</v>
      </c>
      <c r="H36" s="49" t="s">
        <v>645</v>
      </c>
      <c r="I36" s="49"/>
      <c r="J36" s="49"/>
      <c r="K36" s="49"/>
      <c r="L36" s="49">
        <v>0.3</v>
      </c>
      <c r="M36" s="49">
        <v>0.19999999999999998</v>
      </c>
      <c r="N36" s="49">
        <v>0.59099999999999997</v>
      </c>
      <c r="O36" s="49">
        <v>1.4414634146341463</v>
      </c>
      <c r="P36" s="50" t="s">
        <v>644</v>
      </c>
      <c r="Q36" s="50" t="s">
        <v>595</v>
      </c>
      <c r="R36" s="50">
        <v>4.32</v>
      </c>
      <c r="S36" s="50">
        <v>0.41</v>
      </c>
      <c r="T36" s="49">
        <f t="shared" si="1"/>
        <v>0</v>
      </c>
      <c r="U36" s="49">
        <f t="shared" si="0"/>
        <v>0</v>
      </c>
    </row>
    <row r="37" spans="1:21" s="21" customFormat="1" x14ac:dyDescent="0.25">
      <c r="A37" s="49">
        <v>472</v>
      </c>
      <c r="B37" s="49">
        <v>3399213</v>
      </c>
      <c r="C37" s="49" t="s">
        <v>646</v>
      </c>
      <c r="D37" s="49" t="s">
        <v>595</v>
      </c>
      <c r="E37" s="49">
        <v>1.7</v>
      </c>
      <c r="F37" s="49">
        <v>1.55</v>
      </c>
      <c r="G37" s="49">
        <v>0</v>
      </c>
      <c r="H37" s="49" t="s">
        <v>647</v>
      </c>
      <c r="I37" s="49"/>
      <c r="J37" s="49"/>
      <c r="K37" s="49"/>
      <c r="L37" s="49">
        <v>0.5</v>
      </c>
      <c r="M37" s="49">
        <v>0.33333333333333331</v>
      </c>
      <c r="N37" s="49">
        <v>1.3</v>
      </c>
      <c r="O37" s="49">
        <v>0.83870967741935487</v>
      </c>
      <c r="P37" s="50" t="s">
        <v>646</v>
      </c>
      <c r="Q37" s="50" t="s">
        <v>595</v>
      </c>
      <c r="R37" s="50">
        <v>1.7</v>
      </c>
      <c r="S37" s="50">
        <v>1.5</v>
      </c>
      <c r="T37" s="49">
        <f t="shared" si="1"/>
        <v>0</v>
      </c>
      <c r="U37" s="49">
        <f t="shared" si="0"/>
        <v>-5.0000000000000044E-2</v>
      </c>
    </row>
    <row r="38" spans="1:21" s="21" customFormat="1" x14ac:dyDescent="0.25">
      <c r="A38" s="49">
        <v>473</v>
      </c>
      <c r="B38" s="49">
        <v>3399215</v>
      </c>
      <c r="C38" s="49" t="s">
        <v>648</v>
      </c>
      <c r="D38" s="49" t="s">
        <v>595</v>
      </c>
      <c r="E38" s="49">
        <v>5.0999999999999996</v>
      </c>
      <c r="F38" s="49">
        <v>2.1</v>
      </c>
      <c r="G38" s="49">
        <v>0</v>
      </c>
      <c r="H38" s="49" t="s">
        <v>614</v>
      </c>
      <c r="I38" s="49"/>
      <c r="J38" s="49"/>
      <c r="K38" s="49"/>
      <c r="L38" s="49">
        <v>1</v>
      </c>
      <c r="M38" s="49">
        <v>0.47619047619047616</v>
      </c>
      <c r="N38" s="49">
        <v>1.4</v>
      </c>
      <c r="O38" s="49">
        <v>0.66666666666666663</v>
      </c>
      <c r="P38" s="48" t="s">
        <v>648</v>
      </c>
      <c r="Q38" s="50" t="s">
        <v>595</v>
      </c>
      <c r="R38" s="50">
        <v>5.0999999999999996</v>
      </c>
      <c r="S38" s="50">
        <v>2.1</v>
      </c>
      <c r="T38" s="49">
        <f t="shared" si="1"/>
        <v>0</v>
      </c>
      <c r="U38" s="49">
        <f t="shared" si="0"/>
        <v>0</v>
      </c>
    </row>
    <row r="39" spans="1:21" s="21" customFormat="1" x14ac:dyDescent="0.25">
      <c r="A39" s="49">
        <v>474</v>
      </c>
      <c r="B39" s="49">
        <v>3399233</v>
      </c>
      <c r="C39" s="49" t="s">
        <v>649</v>
      </c>
      <c r="D39" s="49" t="s">
        <v>595</v>
      </c>
      <c r="E39" s="49">
        <v>1.5</v>
      </c>
      <c r="F39" s="49">
        <v>1</v>
      </c>
      <c r="G39" s="49">
        <v>0</v>
      </c>
      <c r="H39" s="49" t="s">
        <v>639</v>
      </c>
      <c r="I39" s="49"/>
      <c r="J39" s="49"/>
      <c r="K39" s="49"/>
      <c r="L39" s="49">
        <v>0.4</v>
      </c>
      <c r="M39" s="49">
        <v>0.26666666666666666</v>
      </c>
      <c r="N39" s="49">
        <v>1.2</v>
      </c>
      <c r="O39" s="49">
        <v>1.2</v>
      </c>
      <c r="P39" s="50" t="s">
        <v>649</v>
      </c>
      <c r="Q39" s="50" t="s">
        <v>595</v>
      </c>
      <c r="R39" s="50">
        <v>1.5</v>
      </c>
      <c r="S39" s="50">
        <v>1.5</v>
      </c>
      <c r="T39" s="49">
        <f t="shared" si="1"/>
        <v>0</v>
      </c>
      <c r="U39" s="49">
        <f t="shared" si="0"/>
        <v>0.5</v>
      </c>
    </row>
    <row r="40" spans="1:21" s="21" customFormat="1" x14ac:dyDescent="0.25">
      <c r="A40" s="49">
        <v>475</v>
      </c>
      <c r="B40" s="49">
        <v>3399207</v>
      </c>
      <c r="C40" s="49" t="s">
        <v>650</v>
      </c>
      <c r="D40" s="49" t="s">
        <v>595</v>
      </c>
      <c r="E40" s="49">
        <v>1.29</v>
      </c>
      <c r="F40" s="49">
        <v>1.29</v>
      </c>
      <c r="G40" s="49">
        <v>0</v>
      </c>
      <c r="H40" s="49" t="s">
        <v>651</v>
      </c>
      <c r="I40" s="49"/>
      <c r="J40" s="49"/>
      <c r="K40" s="49"/>
      <c r="L40" s="49">
        <v>0.2</v>
      </c>
      <c r="M40" s="49">
        <v>0.22222222222222224</v>
      </c>
      <c r="N40" s="49">
        <v>0.9</v>
      </c>
      <c r="O40" s="49">
        <v>0.69767441860465118</v>
      </c>
      <c r="P40" s="50" t="s">
        <v>650</v>
      </c>
      <c r="Q40" s="50" t="s">
        <v>595</v>
      </c>
      <c r="R40" s="50">
        <v>0.9</v>
      </c>
      <c r="S40" s="50">
        <v>0.9</v>
      </c>
      <c r="T40" s="49">
        <f t="shared" si="1"/>
        <v>-0.39</v>
      </c>
      <c r="U40" s="49">
        <f t="shared" si="0"/>
        <v>-0.39</v>
      </c>
    </row>
    <row r="41" spans="1:21" s="21" customFormat="1" x14ac:dyDescent="0.25">
      <c r="A41" s="49">
        <v>476</v>
      </c>
      <c r="B41" s="49">
        <v>3399208</v>
      </c>
      <c r="C41" s="49" t="s">
        <v>652</v>
      </c>
      <c r="D41" s="49" t="s">
        <v>595</v>
      </c>
      <c r="E41" s="49">
        <v>0.6</v>
      </c>
      <c r="F41" s="49">
        <v>0.6</v>
      </c>
      <c r="G41" s="49">
        <v>0</v>
      </c>
      <c r="H41" s="49" t="s">
        <v>653</v>
      </c>
      <c r="I41" s="49"/>
      <c r="J41" s="49"/>
      <c r="K41" s="49"/>
      <c r="L41" s="49">
        <v>0.1</v>
      </c>
      <c r="M41" s="49">
        <v>0.33333333333333337</v>
      </c>
      <c r="N41" s="49">
        <v>0.4</v>
      </c>
      <c r="O41" s="49">
        <v>0.66666666666666674</v>
      </c>
      <c r="P41" s="50" t="s">
        <v>652</v>
      </c>
      <c r="Q41" s="50" t="s">
        <v>595</v>
      </c>
      <c r="R41" s="50">
        <v>0.3</v>
      </c>
      <c r="S41" s="50">
        <v>0.3</v>
      </c>
      <c r="T41" s="49">
        <f t="shared" si="1"/>
        <v>-0.3</v>
      </c>
      <c r="U41" s="49">
        <f t="shared" si="0"/>
        <v>-0.3</v>
      </c>
    </row>
    <row r="42" spans="1:21" s="21" customFormat="1" x14ac:dyDescent="0.25">
      <c r="A42" s="49">
        <v>477</v>
      </c>
      <c r="B42" s="49">
        <v>3399243</v>
      </c>
      <c r="C42" s="49" t="s">
        <v>654</v>
      </c>
      <c r="D42" s="49" t="s">
        <v>595</v>
      </c>
      <c r="E42" s="49">
        <v>3</v>
      </c>
      <c r="F42" s="49">
        <v>0.79</v>
      </c>
      <c r="G42" s="49">
        <v>0</v>
      </c>
      <c r="H42" s="49" t="s">
        <v>655</v>
      </c>
      <c r="I42" s="49"/>
      <c r="J42" s="49"/>
      <c r="K42" s="49"/>
      <c r="L42" s="49">
        <v>0.3</v>
      </c>
      <c r="M42" s="49">
        <v>0.3</v>
      </c>
      <c r="N42" s="49">
        <v>0.79</v>
      </c>
      <c r="O42" s="49">
        <v>1</v>
      </c>
      <c r="P42" s="50" t="s">
        <v>654</v>
      </c>
      <c r="Q42" s="50" t="s">
        <v>595</v>
      </c>
      <c r="R42" s="50">
        <v>3</v>
      </c>
      <c r="S42" s="50">
        <v>1</v>
      </c>
      <c r="T42" s="49">
        <f t="shared" si="1"/>
        <v>0</v>
      </c>
      <c r="U42" s="49">
        <f t="shared" si="0"/>
        <v>0.20999999999999996</v>
      </c>
    </row>
    <row r="43" spans="1:21" s="21" customFormat="1" x14ac:dyDescent="0.25">
      <c r="A43" s="47">
        <v>478</v>
      </c>
      <c r="B43" s="47">
        <v>3399238</v>
      </c>
      <c r="C43" s="47" t="s">
        <v>656</v>
      </c>
      <c r="D43" s="47" t="s">
        <v>595</v>
      </c>
      <c r="E43" s="47">
        <v>4</v>
      </c>
      <c r="F43" s="47">
        <v>3.4</v>
      </c>
      <c r="G43" s="47">
        <v>0</v>
      </c>
      <c r="H43" s="47" t="s">
        <v>657</v>
      </c>
      <c r="I43" s="47"/>
      <c r="J43" s="47"/>
      <c r="K43" s="47"/>
      <c r="L43" s="47">
        <v>0.7</v>
      </c>
      <c r="M43" s="47">
        <v>0.17499999999999999</v>
      </c>
      <c r="N43" s="47">
        <v>3.2</v>
      </c>
      <c r="O43" s="47">
        <v>0.94117647058823539</v>
      </c>
      <c r="P43" s="51" t="s">
        <v>656</v>
      </c>
      <c r="Q43" s="51" t="s">
        <v>595</v>
      </c>
      <c r="R43" s="51">
        <v>6.5</v>
      </c>
      <c r="S43" s="51">
        <v>4.24</v>
      </c>
      <c r="T43" s="49">
        <f t="shared" si="1"/>
        <v>2.5</v>
      </c>
      <c r="U43" s="49">
        <f t="shared" si="0"/>
        <v>0.8400000000000003</v>
      </c>
    </row>
    <row r="44" spans="1:21" s="21" customFormat="1" x14ac:dyDescent="0.25">
      <c r="A44" s="49">
        <v>479</v>
      </c>
      <c r="B44" s="49">
        <v>3399217</v>
      </c>
      <c r="C44" s="49" t="s">
        <v>658</v>
      </c>
      <c r="D44" s="49" t="s">
        <v>595</v>
      </c>
      <c r="E44" s="49">
        <v>1.7</v>
      </c>
      <c r="F44" s="49">
        <v>1</v>
      </c>
      <c r="G44" s="49">
        <v>0</v>
      </c>
      <c r="H44" s="49" t="s">
        <v>639</v>
      </c>
      <c r="I44" s="49"/>
      <c r="J44" s="49"/>
      <c r="K44" s="49"/>
      <c r="L44" s="49">
        <v>0.2</v>
      </c>
      <c r="M44" s="49">
        <v>0.11764705882352942</v>
      </c>
      <c r="N44" s="49">
        <v>0.30000000000000004</v>
      </c>
      <c r="O44" s="49">
        <v>0.30000000000000004</v>
      </c>
      <c r="P44" s="50" t="s">
        <v>658</v>
      </c>
      <c r="Q44" s="50" t="s">
        <v>595</v>
      </c>
      <c r="R44" s="50">
        <v>1.7</v>
      </c>
      <c r="S44" s="50">
        <v>1</v>
      </c>
      <c r="T44" s="49">
        <f t="shared" si="1"/>
        <v>0</v>
      </c>
      <c r="U44" s="49">
        <f t="shared" si="0"/>
        <v>0</v>
      </c>
    </row>
    <row r="45" spans="1:21" s="21" customFormat="1" x14ac:dyDescent="0.25">
      <c r="A45" s="47">
        <v>480</v>
      </c>
      <c r="B45" s="47">
        <v>3399234</v>
      </c>
      <c r="C45" s="47" t="s">
        <v>659</v>
      </c>
      <c r="D45" s="47" t="s">
        <v>595</v>
      </c>
      <c r="E45" s="47">
        <v>5.0999999999999996</v>
      </c>
      <c r="F45" s="47">
        <v>0.84</v>
      </c>
      <c r="G45" s="47">
        <v>0</v>
      </c>
      <c r="H45" s="47" t="s">
        <v>660</v>
      </c>
      <c r="I45" s="47"/>
      <c r="J45" s="47"/>
      <c r="K45" s="47"/>
      <c r="L45" s="47">
        <v>0.2</v>
      </c>
      <c r="M45" s="47">
        <v>0.18181818181818182</v>
      </c>
      <c r="N45" s="47">
        <v>0.7</v>
      </c>
      <c r="O45" s="47">
        <v>0.83333333333333326</v>
      </c>
      <c r="P45" s="48" t="s">
        <v>659</v>
      </c>
      <c r="Q45" s="48" t="s">
        <v>595</v>
      </c>
      <c r="R45" s="48">
        <v>5.0999999999999996</v>
      </c>
      <c r="S45" s="48">
        <v>1.5</v>
      </c>
      <c r="T45" s="49">
        <f t="shared" si="1"/>
        <v>0</v>
      </c>
      <c r="U45" s="49">
        <f t="shared" si="0"/>
        <v>0.66</v>
      </c>
    </row>
    <row r="46" spans="1:21" s="21" customFormat="1" x14ac:dyDescent="0.25">
      <c r="A46" s="49">
        <v>481</v>
      </c>
      <c r="B46" s="49">
        <v>3399244</v>
      </c>
      <c r="C46" s="49" t="s">
        <v>661</v>
      </c>
      <c r="D46" s="49" t="s">
        <v>595</v>
      </c>
      <c r="E46" s="49">
        <v>0.43</v>
      </c>
      <c r="F46" s="49">
        <v>0.43</v>
      </c>
      <c r="G46" s="49">
        <v>0</v>
      </c>
      <c r="H46" s="49" t="s">
        <v>662</v>
      </c>
      <c r="I46" s="49"/>
      <c r="J46" s="49"/>
      <c r="K46" s="49"/>
      <c r="L46" s="49">
        <v>0.1</v>
      </c>
      <c r="M46" s="49">
        <v>0.25</v>
      </c>
      <c r="N46" s="49">
        <v>0.5</v>
      </c>
      <c r="O46" s="49">
        <v>1.1627906976744187</v>
      </c>
      <c r="P46" s="48" t="s">
        <v>661</v>
      </c>
      <c r="Q46" s="50" t="s">
        <v>595</v>
      </c>
      <c r="R46" s="50">
        <v>2.5</v>
      </c>
      <c r="S46" s="50">
        <v>0.4</v>
      </c>
      <c r="T46" s="49">
        <f t="shared" si="1"/>
        <v>2.0699999999999998</v>
      </c>
      <c r="U46" s="49">
        <f t="shared" si="0"/>
        <v>-2.9999999999999971E-2</v>
      </c>
    </row>
    <row r="47" spans="1:21" s="21" customFormat="1" x14ac:dyDescent="0.25">
      <c r="A47" s="49">
        <v>482</v>
      </c>
      <c r="B47" s="49">
        <v>3399236</v>
      </c>
      <c r="C47" s="49" t="s">
        <v>663</v>
      </c>
      <c r="D47" s="49" t="s">
        <v>595</v>
      </c>
      <c r="E47" s="49">
        <v>6.1</v>
      </c>
      <c r="F47" s="49">
        <v>2.3199999999999998</v>
      </c>
      <c r="G47" s="49">
        <v>0</v>
      </c>
      <c r="H47" s="49" t="s">
        <v>664</v>
      </c>
      <c r="I47" s="49"/>
      <c r="J47" s="49"/>
      <c r="K47" s="49"/>
      <c r="L47" s="49">
        <v>0.4</v>
      </c>
      <c r="M47" s="49">
        <v>0.2105263157894737</v>
      </c>
      <c r="N47" s="49">
        <v>1.1000000000000001</v>
      </c>
      <c r="O47" s="49">
        <v>0.47413793103448282</v>
      </c>
      <c r="P47" s="50" t="s">
        <v>663</v>
      </c>
      <c r="Q47" s="50" t="s">
        <v>595</v>
      </c>
      <c r="R47" s="50">
        <v>6.1</v>
      </c>
      <c r="S47" s="50">
        <v>1.9</v>
      </c>
      <c r="T47" s="49">
        <f t="shared" si="1"/>
        <v>0</v>
      </c>
      <c r="U47" s="49">
        <f t="shared" si="0"/>
        <v>-0.41999999999999993</v>
      </c>
    </row>
    <row r="48" spans="1:21" s="21" customFormat="1" x14ac:dyDescent="0.25">
      <c r="A48" s="49">
        <v>483</v>
      </c>
      <c r="B48" s="49">
        <v>2244483</v>
      </c>
      <c r="C48" s="49" t="s">
        <v>665</v>
      </c>
      <c r="D48" s="49" t="s">
        <v>595</v>
      </c>
      <c r="E48" s="49">
        <v>1.26</v>
      </c>
      <c r="F48" s="49">
        <v>1.26</v>
      </c>
      <c r="G48" s="49">
        <v>0</v>
      </c>
      <c r="H48" s="49" t="s">
        <v>666</v>
      </c>
      <c r="I48" s="49"/>
      <c r="J48" s="49"/>
      <c r="K48" s="49"/>
      <c r="L48" s="49">
        <v>0.9</v>
      </c>
      <c r="M48" s="49">
        <v>0.69230769230769229</v>
      </c>
      <c r="N48" s="49">
        <v>0</v>
      </c>
      <c r="O48" s="49">
        <v>0</v>
      </c>
      <c r="P48" s="50" t="s">
        <v>665</v>
      </c>
      <c r="Q48" s="50" t="s">
        <v>595</v>
      </c>
      <c r="R48" s="50">
        <v>1.3</v>
      </c>
      <c r="S48" s="50">
        <v>1.2210000000000001</v>
      </c>
      <c r="T48" s="49">
        <f t="shared" si="1"/>
        <v>4.0000000000000036E-2</v>
      </c>
      <c r="U48" s="49">
        <f t="shared" si="0"/>
        <v>-3.8999999999999924E-2</v>
      </c>
    </row>
    <row r="49" spans="1:21" s="21" customFormat="1" x14ac:dyDescent="0.25">
      <c r="A49" s="49">
        <v>484</v>
      </c>
      <c r="B49" s="49">
        <v>2244184</v>
      </c>
      <c r="C49" s="49" t="s">
        <v>667</v>
      </c>
      <c r="D49" s="49" t="s">
        <v>595</v>
      </c>
      <c r="E49" s="49">
        <v>0.8</v>
      </c>
      <c r="F49" s="49">
        <v>0.8</v>
      </c>
      <c r="G49" s="49">
        <v>0</v>
      </c>
      <c r="H49" s="49" t="s">
        <v>622</v>
      </c>
      <c r="I49" s="49"/>
      <c r="J49" s="49"/>
      <c r="K49" s="49"/>
      <c r="L49" s="49">
        <v>0.3</v>
      </c>
      <c r="M49" s="49">
        <v>0.37499999999999994</v>
      </c>
      <c r="N49" s="49">
        <v>0.3</v>
      </c>
      <c r="O49" s="49">
        <v>0.37499999999999994</v>
      </c>
      <c r="P49" s="50" t="s">
        <v>667</v>
      </c>
      <c r="Q49" s="50" t="s">
        <v>595</v>
      </c>
      <c r="R49" s="50">
        <v>0.8</v>
      </c>
      <c r="S49" s="50">
        <v>0.8</v>
      </c>
      <c r="T49" s="49">
        <f t="shared" si="1"/>
        <v>0</v>
      </c>
      <c r="U49" s="49">
        <f t="shared" si="0"/>
        <v>0</v>
      </c>
    </row>
    <row r="50" spans="1:21" s="21" customFormat="1" x14ac:dyDescent="0.25">
      <c r="A50" s="49">
        <v>485</v>
      </c>
      <c r="B50" s="49">
        <v>2243659</v>
      </c>
      <c r="C50" s="49" t="s">
        <v>668</v>
      </c>
      <c r="D50" s="49" t="s">
        <v>595</v>
      </c>
      <c r="E50" s="49">
        <v>0.8</v>
      </c>
      <c r="F50" s="49">
        <v>0.8</v>
      </c>
      <c r="G50" s="49">
        <v>0</v>
      </c>
      <c r="H50" s="49" t="s">
        <v>622</v>
      </c>
      <c r="I50" s="49"/>
      <c r="J50" s="49"/>
      <c r="K50" s="49"/>
      <c r="L50" s="49">
        <v>0.1</v>
      </c>
      <c r="M50" s="49">
        <v>0.16666666666666669</v>
      </c>
      <c r="N50" s="49">
        <v>0.3</v>
      </c>
      <c r="O50" s="49">
        <v>0.37499999999999994</v>
      </c>
      <c r="P50" s="48" t="s">
        <v>668</v>
      </c>
      <c r="Q50" s="50" t="s">
        <v>595</v>
      </c>
      <c r="R50" s="50">
        <v>0.6</v>
      </c>
      <c r="S50" s="50">
        <v>0.6</v>
      </c>
      <c r="T50" s="49">
        <f t="shared" si="1"/>
        <v>-0.20000000000000007</v>
      </c>
      <c r="U50" s="49">
        <f t="shared" si="0"/>
        <v>-0.20000000000000007</v>
      </c>
    </row>
    <row r="51" spans="1:21" s="21" customFormat="1" x14ac:dyDescent="0.25">
      <c r="A51" s="49">
        <v>486</v>
      </c>
      <c r="B51" s="49">
        <v>2240244</v>
      </c>
      <c r="C51" s="49" t="s">
        <v>669</v>
      </c>
      <c r="D51" s="49" t="s">
        <v>595</v>
      </c>
      <c r="E51" s="49">
        <v>1.18</v>
      </c>
      <c r="F51" s="49">
        <v>1.18</v>
      </c>
      <c r="G51" s="49">
        <v>0</v>
      </c>
      <c r="H51" s="49" t="s">
        <v>670</v>
      </c>
      <c r="I51" s="49"/>
      <c r="J51" s="49"/>
      <c r="K51" s="49"/>
      <c r="L51" s="49">
        <v>0.8</v>
      </c>
      <c r="M51" s="49">
        <v>0.66666666666666674</v>
      </c>
      <c r="N51" s="49">
        <v>0.10000000000000009</v>
      </c>
      <c r="O51" s="49">
        <v>8.4745762711864486E-2</v>
      </c>
      <c r="P51" s="50" t="s">
        <v>669</v>
      </c>
      <c r="Q51" s="50" t="s">
        <v>595</v>
      </c>
      <c r="R51" s="50">
        <v>1.2</v>
      </c>
      <c r="S51" s="50">
        <v>1.2</v>
      </c>
      <c r="T51" s="49">
        <f t="shared" si="1"/>
        <v>2.0000000000000018E-2</v>
      </c>
      <c r="U51" s="49">
        <f t="shared" si="0"/>
        <v>2.0000000000000018E-2</v>
      </c>
    </row>
    <row r="52" spans="1:21" s="21" customFormat="1" x14ac:dyDescent="0.25">
      <c r="A52" s="49">
        <v>487</v>
      </c>
      <c r="B52" s="49">
        <v>2240984</v>
      </c>
      <c r="C52" s="49" t="s">
        <v>671</v>
      </c>
      <c r="D52" s="49" t="s">
        <v>595</v>
      </c>
      <c r="E52" s="49">
        <v>0.6</v>
      </c>
      <c r="F52" s="49">
        <v>0.6</v>
      </c>
      <c r="G52" s="49">
        <v>0</v>
      </c>
      <c r="H52" s="49" t="s">
        <v>653</v>
      </c>
      <c r="I52" s="49"/>
      <c r="J52" s="49"/>
      <c r="K52" s="49"/>
      <c r="L52" s="49">
        <v>0</v>
      </c>
      <c r="M52" s="49">
        <v>0</v>
      </c>
      <c r="N52" s="49">
        <v>0.5</v>
      </c>
      <c r="O52" s="49">
        <v>0.83333333333333337</v>
      </c>
      <c r="P52" s="50" t="s">
        <v>671</v>
      </c>
      <c r="Q52" s="50" t="s">
        <v>595</v>
      </c>
      <c r="R52" s="50">
        <v>0.7</v>
      </c>
      <c r="S52" s="50">
        <v>0.7</v>
      </c>
      <c r="T52" s="49">
        <f t="shared" si="1"/>
        <v>9.9999999999999978E-2</v>
      </c>
      <c r="U52" s="49">
        <f t="shared" si="0"/>
        <v>9.9999999999999978E-2</v>
      </c>
    </row>
    <row r="53" spans="1:21" s="21" customFormat="1" x14ac:dyDescent="0.25">
      <c r="A53" s="49">
        <v>488</v>
      </c>
      <c r="B53" s="49">
        <v>2241088</v>
      </c>
      <c r="C53" s="49" t="s">
        <v>672</v>
      </c>
      <c r="D53" s="49" t="s">
        <v>595</v>
      </c>
      <c r="E53" s="49">
        <v>0.5</v>
      </c>
      <c r="F53" s="49">
        <v>0.5</v>
      </c>
      <c r="G53" s="49">
        <v>0</v>
      </c>
      <c r="H53" s="49" t="s">
        <v>673</v>
      </c>
      <c r="I53" s="49"/>
      <c r="J53" s="49"/>
      <c r="K53" s="49"/>
      <c r="L53" s="49">
        <v>0.1</v>
      </c>
      <c r="M53" s="49">
        <v>0.14285714285714288</v>
      </c>
      <c r="N53" s="49">
        <v>0.5</v>
      </c>
      <c r="O53" s="49">
        <v>1</v>
      </c>
      <c r="P53" s="50" t="s">
        <v>672</v>
      </c>
      <c r="Q53" s="50" t="s">
        <v>595</v>
      </c>
      <c r="R53" s="50">
        <v>0.7</v>
      </c>
      <c r="S53" s="50">
        <v>0.7</v>
      </c>
      <c r="T53" s="49">
        <f t="shared" si="1"/>
        <v>0.19999999999999996</v>
      </c>
      <c r="U53" s="49">
        <f t="shared" si="0"/>
        <v>0.19999999999999996</v>
      </c>
    </row>
    <row r="54" spans="1:21" s="21" customFormat="1" x14ac:dyDescent="0.25">
      <c r="A54" s="49">
        <v>489</v>
      </c>
      <c r="B54" s="49">
        <v>2239695</v>
      </c>
      <c r="C54" s="49" t="s">
        <v>674</v>
      </c>
      <c r="D54" s="49" t="s">
        <v>595</v>
      </c>
      <c r="E54" s="49">
        <v>0.67</v>
      </c>
      <c r="F54" s="49">
        <v>0.67</v>
      </c>
      <c r="G54" s="49">
        <v>0</v>
      </c>
      <c r="H54" s="49" t="s">
        <v>612</v>
      </c>
      <c r="I54" s="49"/>
      <c r="J54" s="49"/>
      <c r="K54" s="49"/>
      <c r="L54" s="49">
        <v>0.3</v>
      </c>
      <c r="M54" s="49">
        <v>0.4285714285714286</v>
      </c>
      <c r="N54" s="49">
        <v>0.63500000000000001</v>
      </c>
      <c r="O54" s="49">
        <v>0.94776119402985071</v>
      </c>
      <c r="P54" s="50" t="s">
        <v>674</v>
      </c>
      <c r="Q54" s="50" t="s">
        <v>595</v>
      </c>
      <c r="R54" s="50">
        <v>0.7</v>
      </c>
      <c r="S54" s="50">
        <v>0.7</v>
      </c>
      <c r="T54" s="49">
        <f t="shared" si="1"/>
        <v>2.9999999999999916E-2</v>
      </c>
      <c r="U54" s="49">
        <f t="shared" si="0"/>
        <v>2.9999999999999916E-2</v>
      </c>
    </row>
    <row r="55" spans="1:21" s="21" customFormat="1" x14ac:dyDescent="0.25">
      <c r="A55" s="49">
        <v>490</v>
      </c>
      <c r="B55" s="49">
        <v>2244612</v>
      </c>
      <c r="C55" s="49" t="s">
        <v>675</v>
      </c>
      <c r="D55" s="49" t="s">
        <v>595</v>
      </c>
      <c r="E55" s="49">
        <v>1.1000000000000001</v>
      </c>
      <c r="F55" s="49">
        <v>1.1000000000000001</v>
      </c>
      <c r="G55" s="49">
        <v>0</v>
      </c>
      <c r="H55" s="49" t="s">
        <v>676</v>
      </c>
      <c r="I55" s="49"/>
      <c r="J55" s="49"/>
      <c r="K55" s="49"/>
      <c r="L55" s="49">
        <v>0.3</v>
      </c>
      <c r="M55" s="49">
        <v>0.2142857142857143</v>
      </c>
      <c r="N55" s="49">
        <v>1.1000000000000001</v>
      </c>
      <c r="O55" s="49">
        <v>1</v>
      </c>
      <c r="P55" s="50" t="s">
        <v>675</v>
      </c>
      <c r="Q55" s="50" t="s">
        <v>595</v>
      </c>
      <c r="R55" s="50">
        <v>1.4</v>
      </c>
      <c r="S55" s="50">
        <v>1.4</v>
      </c>
      <c r="T55" s="49">
        <f t="shared" si="1"/>
        <v>0.29999999999999982</v>
      </c>
      <c r="U55" s="49">
        <f t="shared" si="0"/>
        <v>0.29999999999999982</v>
      </c>
    </row>
    <row r="56" spans="1:21" s="21" customFormat="1" x14ac:dyDescent="0.25">
      <c r="A56" s="49">
        <v>491</v>
      </c>
      <c r="B56" s="49">
        <v>2246186</v>
      </c>
      <c r="C56" s="49" t="s">
        <v>677</v>
      </c>
      <c r="D56" s="49" t="s">
        <v>595</v>
      </c>
      <c r="E56" s="49">
        <v>0.56999999999999995</v>
      </c>
      <c r="F56" s="49">
        <v>0.56999999999999995</v>
      </c>
      <c r="G56" s="49">
        <v>0</v>
      </c>
      <c r="H56" s="49" t="s">
        <v>678</v>
      </c>
      <c r="I56" s="49"/>
      <c r="J56" s="49"/>
      <c r="K56" s="49"/>
      <c r="L56" s="49">
        <v>0.3</v>
      </c>
      <c r="M56" s="49">
        <v>0.33333333333333331</v>
      </c>
      <c r="N56" s="49">
        <v>0.497</v>
      </c>
      <c r="O56" s="49">
        <v>0.87192982456140355</v>
      </c>
      <c r="P56" s="48" t="s">
        <v>677</v>
      </c>
      <c r="Q56" s="50" t="s">
        <v>595</v>
      </c>
      <c r="R56" s="50">
        <v>0.9</v>
      </c>
      <c r="S56" s="50">
        <v>0.9</v>
      </c>
      <c r="T56" s="49">
        <f t="shared" si="1"/>
        <v>0.33000000000000007</v>
      </c>
      <c r="U56" s="49">
        <f t="shared" si="0"/>
        <v>0.33000000000000007</v>
      </c>
    </row>
    <row r="57" spans="1:21" s="21" customFormat="1" x14ac:dyDescent="0.25">
      <c r="A57" s="49">
        <v>492</v>
      </c>
      <c r="B57" s="49">
        <v>3399230</v>
      </c>
      <c r="C57" s="49" t="s">
        <v>679</v>
      </c>
      <c r="D57" s="49" t="s">
        <v>595</v>
      </c>
      <c r="E57" s="49">
        <v>3</v>
      </c>
      <c r="F57" s="49">
        <v>1.34</v>
      </c>
      <c r="G57" s="49">
        <v>0</v>
      </c>
      <c r="H57" s="49" t="s">
        <v>680</v>
      </c>
      <c r="I57" s="49"/>
      <c r="J57" s="49"/>
      <c r="K57" s="49"/>
      <c r="L57" s="49">
        <v>0.3</v>
      </c>
      <c r="M57" s="49">
        <v>0.33333333333333331</v>
      </c>
      <c r="N57" s="49">
        <v>0.49099999999999999</v>
      </c>
      <c r="O57" s="49">
        <v>0.36641791044776117</v>
      </c>
      <c r="P57" s="50" t="s">
        <v>679</v>
      </c>
      <c r="Q57" s="50" t="s">
        <v>595</v>
      </c>
      <c r="R57" s="50">
        <v>3</v>
      </c>
      <c r="S57" s="50">
        <v>0.9</v>
      </c>
      <c r="T57" s="49">
        <f t="shared" si="1"/>
        <v>0</v>
      </c>
      <c r="U57" s="49">
        <f t="shared" si="0"/>
        <v>-0.44000000000000006</v>
      </c>
    </row>
    <row r="59" spans="1:21" ht="15.75" x14ac:dyDescent="0.25">
      <c r="C59" s="54" t="s">
        <v>681</v>
      </c>
      <c r="D59" s="55"/>
    </row>
    <row r="60" spans="1:21" ht="15.75" x14ac:dyDescent="0.25">
      <c r="C60" s="54" t="s">
        <v>682</v>
      </c>
      <c r="D60" s="55" t="s">
        <v>683</v>
      </c>
    </row>
  </sheetData>
  <mergeCells count="7">
    <mergeCell ref="R2:S5"/>
    <mergeCell ref="A2:A6"/>
    <mergeCell ref="B2:B6"/>
    <mergeCell ref="C2:D5"/>
    <mergeCell ref="E2:F5"/>
    <mergeCell ref="G2:H5"/>
    <mergeCell ref="P2:Q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DEA0E7-E75C-4694-A767-D5BBB3190A84}">
  <dimension ref="A1:J119"/>
  <sheetViews>
    <sheetView view="pageBreakPreview" topLeftCell="A5" zoomScale="60" zoomScaleNormal="100" workbookViewId="0">
      <pane ySplit="3" topLeftCell="A56" activePane="bottomLeft" state="frozen"/>
      <selection activeCell="A5" sqref="A5"/>
      <selection pane="bottomLeft" activeCell="B73" sqref="B73"/>
    </sheetView>
  </sheetViews>
  <sheetFormatPr defaultRowHeight="15" x14ac:dyDescent="0.25"/>
  <cols>
    <col min="1" max="1" width="19.42578125" style="58" customWidth="1"/>
    <col min="2" max="2" width="75.7109375" style="58" customWidth="1"/>
    <col min="3" max="3" width="13.85546875" style="59" customWidth="1"/>
    <col min="4" max="7" width="6.28515625" style="59" customWidth="1"/>
    <col min="8" max="10" width="19.28515625" style="58" hidden="1" customWidth="1"/>
    <col min="11" max="16384" width="9.140625" style="58"/>
  </cols>
  <sheetData>
    <row r="1" spans="1:10" hidden="1" x14ac:dyDescent="0.25">
      <c r="D1" s="58"/>
      <c r="E1" s="60"/>
      <c r="F1" s="60"/>
      <c r="G1" s="60" t="s">
        <v>684</v>
      </c>
    </row>
    <row r="2" spans="1:10" hidden="1" x14ac:dyDescent="0.25">
      <c r="D2" s="58"/>
      <c r="E2" s="60"/>
      <c r="F2" s="60"/>
      <c r="G2" s="60" t="s">
        <v>685</v>
      </c>
    </row>
    <row r="3" spans="1:10" hidden="1" x14ac:dyDescent="0.25">
      <c r="D3" s="58"/>
      <c r="E3" s="60"/>
      <c r="F3" s="60"/>
      <c r="G3" s="60" t="s">
        <v>686</v>
      </c>
    </row>
    <row r="4" spans="1:10" ht="15.75" hidden="1" x14ac:dyDescent="0.25">
      <c r="D4" s="58"/>
      <c r="E4" s="60"/>
      <c r="F4" s="60"/>
      <c r="G4" s="61" t="s">
        <v>687</v>
      </c>
    </row>
    <row r="5" spans="1:10" ht="66" customHeight="1" x14ac:dyDescent="0.25">
      <c r="A5" s="62" t="s">
        <v>688</v>
      </c>
      <c r="B5" s="379" t="s">
        <v>689</v>
      </c>
      <c r="C5" s="380"/>
    </row>
    <row r="6" spans="1:10" x14ac:dyDescent="0.25">
      <c r="A6" s="381" t="s">
        <v>1</v>
      </c>
      <c r="B6" s="383" t="s">
        <v>2</v>
      </c>
      <c r="C6" s="63" t="s">
        <v>690</v>
      </c>
      <c r="D6" s="64" t="s">
        <v>691</v>
      </c>
      <c r="E6" s="65"/>
      <c r="F6" s="65"/>
      <c r="G6" s="65"/>
    </row>
    <row r="7" spans="1:10" x14ac:dyDescent="0.25">
      <c r="A7" s="382"/>
      <c r="B7" s="384"/>
      <c r="C7" s="66" t="s">
        <v>692</v>
      </c>
      <c r="D7" s="67" t="s">
        <v>693</v>
      </c>
      <c r="E7" s="67" t="s">
        <v>694</v>
      </c>
      <c r="F7" s="67" t="s">
        <v>695</v>
      </c>
      <c r="G7" s="67" t="s">
        <v>696</v>
      </c>
    </row>
    <row r="8" spans="1:10" x14ac:dyDescent="0.25">
      <c r="A8" s="68" t="s">
        <v>697</v>
      </c>
      <c r="B8" s="66" t="s">
        <v>698</v>
      </c>
      <c r="C8" s="66" t="s">
        <v>699</v>
      </c>
      <c r="D8" s="67" t="s">
        <v>700</v>
      </c>
      <c r="E8" s="67" t="s">
        <v>701</v>
      </c>
      <c r="F8" s="67" t="s">
        <v>702</v>
      </c>
      <c r="G8" s="67" t="s">
        <v>703</v>
      </c>
      <c r="H8" s="66" t="s">
        <v>785</v>
      </c>
      <c r="I8" s="66" t="s">
        <v>786</v>
      </c>
      <c r="J8" s="66" t="s">
        <v>787</v>
      </c>
    </row>
    <row r="9" spans="1:10" x14ac:dyDescent="0.25">
      <c r="A9" s="69" t="s">
        <v>4</v>
      </c>
      <c r="B9" s="70" t="s">
        <v>596</v>
      </c>
      <c r="C9" s="67">
        <f>Таблица14[[#This Row],[5]]+Таблица14[[#This Row],[4]]+Таблица14[[#This Row],[6]]+Таблица14[[#This Row],[7]]</f>
        <v>1.75</v>
      </c>
      <c r="D9" s="67"/>
      <c r="E9" s="67"/>
      <c r="F9" s="67">
        <v>1.75</v>
      </c>
      <c r="G9" s="71"/>
      <c r="H9" s="66">
        <v>1</v>
      </c>
      <c r="I9" s="66">
        <f t="shared" ref="I9:I40" si="0">169+104</f>
        <v>273</v>
      </c>
      <c r="J9" s="66"/>
    </row>
    <row r="10" spans="1:10" x14ac:dyDescent="0.25">
      <c r="A10" s="69" t="s">
        <v>6</v>
      </c>
      <c r="B10" s="70" t="s">
        <v>7</v>
      </c>
      <c r="C10" s="67">
        <f>Таблица14[[#This Row],[5]]+Таблица14[[#This Row],[4]]+Таблица14[[#This Row],[6]]+Таблица14[[#This Row],[7]]</f>
        <v>0.7</v>
      </c>
      <c r="D10" s="67"/>
      <c r="E10" s="67"/>
      <c r="F10" s="67">
        <v>0.7</v>
      </c>
      <c r="G10" s="71"/>
      <c r="H10" s="67">
        <v>2</v>
      </c>
      <c r="I10" s="67">
        <f t="shared" si="0"/>
        <v>273</v>
      </c>
      <c r="J10" s="67"/>
    </row>
    <row r="11" spans="1:10" x14ac:dyDescent="0.25">
      <c r="A11" s="69" t="s">
        <v>8</v>
      </c>
      <c r="B11" s="70" t="s">
        <v>9</v>
      </c>
      <c r="C11" s="67">
        <f>Таблица14[[#This Row],[5]]+Таблица14[[#This Row],[4]]+Таблица14[[#This Row],[6]]+Таблица14[[#This Row],[7]]</f>
        <v>0.8</v>
      </c>
      <c r="D11" s="67">
        <v>0.8</v>
      </c>
      <c r="E11" s="67"/>
      <c r="F11" s="67"/>
      <c r="G11" s="71"/>
      <c r="H11" s="66">
        <v>3</v>
      </c>
      <c r="I11" s="67">
        <f t="shared" si="0"/>
        <v>273</v>
      </c>
      <c r="J11" s="67"/>
    </row>
    <row r="12" spans="1:10" x14ac:dyDescent="0.25">
      <c r="A12" s="69" t="s">
        <v>10</v>
      </c>
      <c r="B12" s="70" t="s">
        <v>704</v>
      </c>
      <c r="C12" s="67">
        <f>Таблица14[[#This Row],[5]]+Таблица14[[#This Row],[4]]+Таблица14[[#This Row],[6]]+Таблица14[[#This Row],[7]]</f>
        <v>0.2</v>
      </c>
      <c r="D12" s="67">
        <v>0.2</v>
      </c>
      <c r="E12" s="67"/>
      <c r="F12" s="67"/>
      <c r="G12" s="71"/>
      <c r="H12" s="67">
        <v>4</v>
      </c>
      <c r="I12" s="67">
        <f t="shared" si="0"/>
        <v>273</v>
      </c>
      <c r="J12" s="67"/>
    </row>
    <row r="13" spans="1:10" x14ac:dyDescent="0.25">
      <c r="A13" s="69" t="s">
        <v>12</v>
      </c>
      <c r="B13" s="70" t="s">
        <v>13</v>
      </c>
      <c r="C13" s="67">
        <f>Таблица14[[#This Row],[5]]+Таблица14[[#This Row],[4]]+Таблица14[[#This Row],[6]]+Таблица14[[#This Row],[7]]</f>
        <v>2</v>
      </c>
      <c r="D13" s="67">
        <v>2</v>
      </c>
      <c r="E13" s="67"/>
      <c r="F13" s="67"/>
      <c r="G13" s="71"/>
      <c r="H13" s="66">
        <v>5</v>
      </c>
      <c r="I13" s="67">
        <f t="shared" si="0"/>
        <v>273</v>
      </c>
      <c r="J13" s="67"/>
    </row>
    <row r="14" spans="1:10" x14ac:dyDescent="0.25">
      <c r="A14" s="69" t="s">
        <v>14</v>
      </c>
      <c r="B14" s="70" t="s">
        <v>705</v>
      </c>
      <c r="C14" s="67">
        <f>Таблица14[[#This Row],[5]]+Таблица14[[#This Row],[4]]+Таблица14[[#This Row],[6]]+Таблица14[[#This Row],[7]]</f>
        <v>3.5</v>
      </c>
      <c r="D14" s="67">
        <v>3.5</v>
      </c>
      <c r="E14" s="67"/>
      <c r="F14" s="67"/>
      <c r="G14" s="71"/>
      <c r="H14" s="67">
        <v>6</v>
      </c>
      <c r="I14" s="67">
        <f t="shared" si="0"/>
        <v>273</v>
      </c>
      <c r="J14" s="67"/>
    </row>
    <row r="15" spans="1:10" x14ac:dyDescent="0.25">
      <c r="A15" s="69" t="s">
        <v>15</v>
      </c>
      <c r="B15" s="70" t="s">
        <v>706</v>
      </c>
      <c r="C15" s="67">
        <f>Таблица14[[#This Row],[5]]+Таблица14[[#This Row],[4]]+Таблица14[[#This Row],[6]]+Таблица14[[#This Row],[7]]</f>
        <v>3.5</v>
      </c>
      <c r="D15" s="67">
        <v>3.5</v>
      </c>
      <c r="E15" s="67"/>
      <c r="F15" s="67"/>
      <c r="G15" s="71"/>
      <c r="H15" s="66">
        <v>7</v>
      </c>
      <c r="I15" s="67">
        <f t="shared" si="0"/>
        <v>273</v>
      </c>
      <c r="J15" s="67"/>
    </row>
    <row r="16" spans="1:10" x14ac:dyDescent="0.25">
      <c r="A16" s="69" t="s">
        <v>17</v>
      </c>
      <c r="B16" s="70" t="s">
        <v>707</v>
      </c>
      <c r="C16" s="67">
        <f>Таблица14[[#This Row],[5]]+Таблица14[[#This Row],[4]]+Таблица14[[#This Row],[6]]+Таблица14[[#This Row],[7]]</f>
        <v>1.5</v>
      </c>
      <c r="D16" s="67">
        <v>1.5</v>
      </c>
      <c r="E16" s="67"/>
      <c r="F16" s="67"/>
      <c r="G16" s="71"/>
      <c r="H16" s="67">
        <v>8</v>
      </c>
      <c r="I16" s="67">
        <f t="shared" si="0"/>
        <v>273</v>
      </c>
      <c r="J16" s="67"/>
    </row>
    <row r="17" spans="1:10" x14ac:dyDescent="0.25">
      <c r="A17" s="69" t="s">
        <v>19</v>
      </c>
      <c r="B17" s="70" t="s">
        <v>20</v>
      </c>
      <c r="C17" s="67">
        <f>Таблица14[[#This Row],[5]]+Таблица14[[#This Row],[4]]+Таблица14[[#This Row],[6]]+Таблица14[[#This Row],[7]]</f>
        <v>1.5</v>
      </c>
      <c r="D17" s="67">
        <v>1.5</v>
      </c>
      <c r="E17" s="67"/>
      <c r="F17" s="67"/>
      <c r="G17" s="71"/>
      <c r="H17" s="66">
        <v>9</v>
      </c>
      <c r="I17" s="67">
        <f t="shared" si="0"/>
        <v>273</v>
      </c>
      <c r="J17" s="67"/>
    </row>
    <row r="18" spans="1:10" x14ac:dyDescent="0.25">
      <c r="A18" s="69" t="s">
        <v>21</v>
      </c>
      <c r="B18" s="70" t="s">
        <v>22</v>
      </c>
      <c r="C18" s="67">
        <f>Таблица14[[#This Row],[5]]+Таблица14[[#This Row],[4]]+Таблица14[[#This Row],[6]]+Таблица14[[#This Row],[7]]</f>
        <v>1</v>
      </c>
      <c r="D18" s="67">
        <v>1</v>
      </c>
      <c r="E18" s="67"/>
      <c r="F18" s="67"/>
      <c r="G18" s="71"/>
      <c r="H18" s="67">
        <v>10</v>
      </c>
      <c r="I18" s="67">
        <f t="shared" si="0"/>
        <v>273</v>
      </c>
      <c r="J18" s="67"/>
    </row>
    <row r="19" spans="1:10" x14ac:dyDescent="0.25">
      <c r="A19" s="69" t="s">
        <v>23</v>
      </c>
      <c r="B19" s="70" t="s">
        <v>708</v>
      </c>
      <c r="C19" s="67">
        <f>Таблица14[[#This Row],[5]]+Таблица14[[#This Row],[4]]+Таблица14[[#This Row],[6]]+Таблица14[[#This Row],[7]]</f>
        <v>0.5</v>
      </c>
      <c r="D19" s="67">
        <v>0.5</v>
      </c>
      <c r="E19" s="67"/>
      <c r="F19" s="67"/>
      <c r="G19" s="71"/>
      <c r="H19" s="66">
        <v>11</v>
      </c>
      <c r="I19" s="67">
        <f t="shared" si="0"/>
        <v>273</v>
      </c>
      <c r="J19" s="67"/>
    </row>
    <row r="20" spans="1:10" x14ac:dyDescent="0.25">
      <c r="A20" s="69" t="s">
        <v>25</v>
      </c>
      <c r="B20" s="70" t="s">
        <v>26</v>
      </c>
      <c r="C20" s="67">
        <f>Таблица14[[#This Row],[5]]+Таблица14[[#This Row],[4]]+Таблица14[[#This Row],[6]]+Таблица14[[#This Row],[7]]</f>
        <v>3.5</v>
      </c>
      <c r="D20" s="67">
        <v>3.5</v>
      </c>
      <c r="E20" s="67"/>
      <c r="F20" s="67"/>
      <c r="G20" s="71"/>
      <c r="H20" s="67">
        <v>12</v>
      </c>
      <c r="I20" s="67">
        <f t="shared" si="0"/>
        <v>273</v>
      </c>
      <c r="J20" s="67"/>
    </row>
    <row r="21" spans="1:10" x14ac:dyDescent="0.25">
      <c r="A21" s="69" t="s">
        <v>27</v>
      </c>
      <c r="B21" s="70" t="s">
        <v>28</v>
      </c>
      <c r="C21" s="67">
        <f>Таблица14[[#This Row],[5]]+Таблица14[[#This Row],[4]]+Таблица14[[#This Row],[6]]+Таблица14[[#This Row],[7]]</f>
        <v>2</v>
      </c>
      <c r="D21" s="67">
        <v>2</v>
      </c>
      <c r="E21" s="67"/>
      <c r="F21" s="67"/>
      <c r="G21" s="71"/>
      <c r="H21" s="66">
        <v>13</v>
      </c>
      <c r="I21" s="67">
        <f t="shared" si="0"/>
        <v>273</v>
      </c>
      <c r="J21" s="67"/>
    </row>
    <row r="22" spans="1:10" x14ac:dyDescent="0.25">
      <c r="A22" s="69" t="s">
        <v>29</v>
      </c>
      <c r="B22" s="70" t="s">
        <v>30</v>
      </c>
      <c r="C22" s="67">
        <f>Таблица14[[#This Row],[5]]+Таблица14[[#This Row],[4]]+Таблица14[[#This Row],[6]]+Таблица14[[#This Row],[7]]</f>
        <v>2</v>
      </c>
      <c r="D22" s="67">
        <v>2</v>
      </c>
      <c r="E22" s="67"/>
      <c r="F22" s="67"/>
      <c r="G22" s="71"/>
      <c r="H22" s="67">
        <v>14</v>
      </c>
      <c r="I22" s="67">
        <f t="shared" si="0"/>
        <v>273</v>
      </c>
      <c r="J22" s="67"/>
    </row>
    <row r="23" spans="1:10" x14ac:dyDescent="0.25">
      <c r="A23" s="69" t="s">
        <v>31</v>
      </c>
      <c r="B23" s="70" t="s">
        <v>32</v>
      </c>
      <c r="C23" s="67">
        <f>Таблица14[[#This Row],[5]]+Таблица14[[#This Row],[4]]+Таблица14[[#This Row],[6]]+Таблица14[[#This Row],[7]]</f>
        <v>2.5</v>
      </c>
      <c r="D23" s="67">
        <v>2.15</v>
      </c>
      <c r="E23" s="67">
        <v>0.35</v>
      </c>
      <c r="F23" s="67"/>
      <c r="G23" s="71"/>
      <c r="H23" s="66">
        <v>15</v>
      </c>
      <c r="I23" s="67">
        <f t="shared" si="0"/>
        <v>273</v>
      </c>
      <c r="J23" s="67"/>
    </row>
    <row r="24" spans="1:10" x14ac:dyDescent="0.25">
      <c r="A24" s="69" t="s">
        <v>33</v>
      </c>
      <c r="B24" s="70" t="s">
        <v>34</v>
      </c>
      <c r="C24" s="67">
        <f>Таблица14[[#This Row],[5]]+Таблица14[[#This Row],[4]]+Таблица14[[#This Row],[6]]+Таблица14[[#This Row],[7]]</f>
        <v>2</v>
      </c>
      <c r="D24" s="67">
        <v>2</v>
      </c>
      <c r="E24" s="67"/>
      <c r="F24" s="67"/>
      <c r="G24" s="71"/>
      <c r="H24" s="67">
        <v>16</v>
      </c>
      <c r="I24" s="67">
        <f t="shared" si="0"/>
        <v>273</v>
      </c>
      <c r="J24" s="67"/>
    </row>
    <row r="25" spans="1:10" x14ac:dyDescent="0.25">
      <c r="A25" s="69" t="s">
        <v>35</v>
      </c>
      <c r="B25" s="70" t="s">
        <v>709</v>
      </c>
      <c r="C25" s="67">
        <f>Таблица14[[#This Row],[5]]+Таблица14[[#This Row],[4]]+Таблица14[[#This Row],[6]]+Таблица14[[#This Row],[7]]</f>
        <v>1</v>
      </c>
      <c r="D25" s="67">
        <v>1</v>
      </c>
      <c r="E25" s="67"/>
      <c r="F25" s="67"/>
      <c r="G25" s="71"/>
      <c r="H25" s="66">
        <v>17</v>
      </c>
      <c r="I25" s="67">
        <f t="shared" si="0"/>
        <v>273</v>
      </c>
      <c r="J25" s="67"/>
    </row>
    <row r="26" spans="1:10" x14ac:dyDescent="0.25">
      <c r="A26" s="69" t="s">
        <v>37</v>
      </c>
      <c r="B26" s="70" t="s">
        <v>599</v>
      </c>
      <c r="C26" s="67">
        <f>Таблица14[[#This Row],[5]]+Таблица14[[#This Row],[4]]+Таблица14[[#This Row],[6]]+Таблица14[[#This Row],[7]]</f>
        <v>2</v>
      </c>
      <c r="D26" s="67"/>
      <c r="E26" s="67">
        <v>2</v>
      </c>
      <c r="F26" s="67"/>
      <c r="G26" s="71"/>
      <c r="H26" s="67">
        <v>18</v>
      </c>
      <c r="I26" s="67">
        <f t="shared" si="0"/>
        <v>273</v>
      </c>
      <c r="J26" s="67"/>
    </row>
    <row r="27" spans="1:10" x14ac:dyDescent="0.25">
      <c r="A27" s="69" t="s">
        <v>39</v>
      </c>
      <c r="B27" s="70" t="s">
        <v>40</v>
      </c>
      <c r="C27" s="67">
        <f>Таблица14[[#This Row],[5]]+Таблица14[[#This Row],[4]]+Таблица14[[#This Row],[6]]+Таблица14[[#This Row],[7]]</f>
        <v>1.5</v>
      </c>
      <c r="D27" s="67">
        <v>1.5</v>
      </c>
      <c r="E27" s="67"/>
      <c r="F27" s="67"/>
      <c r="G27" s="71"/>
      <c r="H27" s="66">
        <v>19</v>
      </c>
      <c r="I27" s="67">
        <f t="shared" si="0"/>
        <v>273</v>
      </c>
      <c r="J27" s="67"/>
    </row>
    <row r="28" spans="1:10" x14ac:dyDescent="0.25">
      <c r="A28" s="69" t="s">
        <v>41</v>
      </c>
      <c r="B28" s="70" t="s">
        <v>42</v>
      </c>
      <c r="C28" s="67">
        <f>Таблица14[[#This Row],[5]]+Таблица14[[#This Row],[4]]+Таблица14[[#This Row],[6]]+Таблица14[[#This Row],[7]]</f>
        <v>2</v>
      </c>
      <c r="D28" s="67">
        <v>2</v>
      </c>
      <c r="E28" s="67"/>
      <c r="F28" s="67"/>
      <c r="G28" s="71"/>
      <c r="H28" s="67">
        <v>20</v>
      </c>
      <c r="I28" s="67">
        <f t="shared" si="0"/>
        <v>273</v>
      </c>
      <c r="J28" s="67"/>
    </row>
    <row r="29" spans="1:10" x14ac:dyDescent="0.25">
      <c r="A29" s="69" t="s">
        <v>43</v>
      </c>
      <c r="B29" s="70" t="s">
        <v>44</v>
      </c>
      <c r="C29" s="67">
        <f>Таблица14[[#This Row],[5]]+Таблица14[[#This Row],[4]]+Таблица14[[#This Row],[6]]+Таблица14[[#This Row],[7]]</f>
        <v>3</v>
      </c>
      <c r="D29" s="67">
        <v>3</v>
      </c>
      <c r="E29" s="67"/>
      <c r="F29" s="67"/>
      <c r="G29" s="71"/>
      <c r="H29" s="66">
        <v>21</v>
      </c>
      <c r="I29" s="67">
        <f t="shared" si="0"/>
        <v>273</v>
      </c>
      <c r="J29" s="67"/>
    </row>
    <row r="30" spans="1:10" x14ac:dyDescent="0.25">
      <c r="A30" s="69" t="s">
        <v>45</v>
      </c>
      <c r="B30" s="70" t="s">
        <v>46</v>
      </c>
      <c r="C30" s="67">
        <f>Таблица14[[#This Row],[5]]+Таблица14[[#This Row],[4]]+Таблица14[[#This Row],[6]]+Таблица14[[#This Row],[7]]</f>
        <v>2</v>
      </c>
      <c r="D30" s="67">
        <v>2</v>
      </c>
      <c r="E30" s="67"/>
      <c r="F30" s="67"/>
      <c r="G30" s="71"/>
      <c r="H30" s="67">
        <v>22</v>
      </c>
      <c r="I30" s="67">
        <f t="shared" si="0"/>
        <v>273</v>
      </c>
      <c r="J30" s="67"/>
    </row>
    <row r="31" spans="1:10" x14ac:dyDescent="0.25">
      <c r="A31" s="69" t="s">
        <v>47</v>
      </c>
      <c r="B31" s="70" t="s">
        <v>48</v>
      </c>
      <c r="C31" s="67">
        <f>Таблица14[[#This Row],[5]]+Таблица14[[#This Row],[4]]+Таблица14[[#This Row],[6]]+Таблица14[[#This Row],[7]]</f>
        <v>2</v>
      </c>
      <c r="D31" s="67">
        <v>2</v>
      </c>
      <c r="E31" s="67"/>
      <c r="F31" s="67"/>
      <c r="G31" s="71"/>
      <c r="H31" s="66">
        <v>23</v>
      </c>
      <c r="I31" s="67">
        <f t="shared" si="0"/>
        <v>273</v>
      </c>
      <c r="J31" s="67"/>
    </row>
    <row r="32" spans="1:10" x14ac:dyDescent="0.25">
      <c r="A32" s="69" t="s">
        <v>49</v>
      </c>
      <c r="B32" s="70" t="s">
        <v>710</v>
      </c>
      <c r="C32" s="67">
        <f>Таблица14[[#This Row],[5]]+Таблица14[[#This Row],[4]]+Таблица14[[#This Row],[6]]+Таблица14[[#This Row],[7]]</f>
        <v>1</v>
      </c>
      <c r="D32" s="67">
        <v>1</v>
      </c>
      <c r="E32" s="67"/>
      <c r="F32" s="67"/>
      <c r="G32" s="71"/>
      <c r="H32" s="67">
        <v>24</v>
      </c>
      <c r="I32" s="67">
        <f t="shared" si="0"/>
        <v>273</v>
      </c>
      <c r="J32" s="67"/>
    </row>
    <row r="33" spans="1:10" x14ac:dyDescent="0.25">
      <c r="A33" s="69" t="s">
        <v>51</v>
      </c>
      <c r="B33" s="70" t="s">
        <v>52</v>
      </c>
      <c r="C33" s="67">
        <f>Таблица14[[#This Row],[5]]+Таблица14[[#This Row],[4]]+Таблица14[[#This Row],[6]]+Таблица14[[#This Row],[7]]</f>
        <v>3</v>
      </c>
      <c r="D33" s="67"/>
      <c r="E33" s="67">
        <v>3</v>
      </c>
      <c r="F33" s="67"/>
      <c r="G33" s="71"/>
      <c r="H33" s="66">
        <v>25</v>
      </c>
      <c r="I33" s="67">
        <f t="shared" si="0"/>
        <v>273</v>
      </c>
      <c r="J33" s="67"/>
    </row>
    <row r="34" spans="1:10" x14ac:dyDescent="0.25">
      <c r="A34" s="69" t="s">
        <v>53</v>
      </c>
      <c r="B34" s="70" t="s">
        <v>54</v>
      </c>
      <c r="C34" s="67">
        <f>Таблица14[[#This Row],[5]]+Таблица14[[#This Row],[4]]+Таблица14[[#This Row],[6]]+Таблица14[[#This Row],[7]]</f>
        <v>2</v>
      </c>
      <c r="D34" s="67">
        <v>2</v>
      </c>
      <c r="E34" s="67"/>
      <c r="F34" s="67"/>
      <c r="G34" s="71"/>
      <c r="H34" s="67">
        <v>26</v>
      </c>
      <c r="I34" s="67">
        <f t="shared" si="0"/>
        <v>273</v>
      </c>
      <c r="J34" s="67"/>
    </row>
    <row r="35" spans="1:10" x14ac:dyDescent="0.25">
      <c r="A35" s="69" t="s">
        <v>55</v>
      </c>
      <c r="B35" s="70" t="s">
        <v>711</v>
      </c>
      <c r="C35" s="67">
        <f>Таблица14[[#This Row],[5]]+Таблица14[[#This Row],[4]]+Таблица14[[#This Row],[6]]+Таблица14[[#This Row],[7]]</f>
        <v>1</v>
      </c>
      <c r="D35" s="67">
        <v>1</v>
      </c>
      <c r="E35" s="67"/>
      <c r="F35" s="67"/>
      <c r="G35" s="71"/>
      <c r="H35" s="66">
        <v>27</v>
      </c>
      <c r="I35" s="67">
        <f t="shared" si="0"/>
        <v>273</v>
      </c>
      <c r="J35" s="67"/>
    </row>
    <row r="36" spans="1:10" x14ac:dyDescent="0.25">
      <c r="A36" s="69" t="s">
        <v>57</v>
      </c>
      <c r="B36" s="70" t="s">
        <v>58</v>
      </c>
      <c r="C36" s="67">
        <f>Таблица14[[#This Row],[5]]+Таблица14[[#This Row],[4]]+Таблица14[[#This Row],[6]]+Таблица14[[#This Row],[7]]</f>
        <v>2</v>
      </c>
      <c r="D36" s="67">
        <v>1.875</v>
      </c>
      <c r="E36" s="67">
        <v>0.125</v>
      </c>
      <c r="F36" s="67"/>
      <c r="G36" s="71"/>
      <c r="H36" s="67">
        <v>28</v>
      </c>
      <c r="I36" s="67">
        <f t="shared" si="0"/>
        <v>273</v>
      </c>
      <c r="J36" s="67"/>
    </row>
    <row r="37" spans="1:10" x14ac:dyDescent="0.25">
      <c r="A37" s="69" t="s">
        <v>59</v>
      </c>
      <c r="B37" s="70" t="s">
        <v>60</v>
      </c>
      <c r="C37" s="67">
        <f>Таблица14[[#This Row],[5]]+Таблица14[[#This Row],[4]]+Таблица14[[#This Row],[6]]+Таблица14[[#This Row],[7]]</f>
        <v>1</v>
      </c>
      <c r="D37" s="67">
        <v>1</v>
      </c>
      <c r="E37" s="67"/>
      <c r="F37" s="67"/>
      <c r="G37" s="71"/>
      <c r="H37" s="66">
        <v>29</v>
      </c>
      <c r="I37" s="67">
        <f t="shared" si="0"/>
        <v>273</v>
      </c>
      <c r="J37" s="67"/>
    </row>
    <row r="38" spans="1:10" x14ac:dyDescent="0.25">
      <c r="A38" s="69" t="s">
        <v>61</v>
      </c>
      <c r="B38" s="70" t="s">
        <v>62</v>
      </c>
      <c r="C38" s="67">
        <f>Таблица14[[#This Row],[5]]+Таблица14[[#This Row],[4]]+Таблица14[[#This Row],[6]]+Таблица14[[#This Row],[7]]</f>
        <v>4</v>
      </c>
      <c r="D38" s="67"/>
      <c r="E38" s="67"/>
      <c r="F38" s="67">
        <v>4</v>
      </c>
      <c r="G38" s="71"/>
      <c r="H38" s="67">
        <v>30</v>
      </c>
      <c r="I38" s="67">
        <f t="shared" si="0"/>
        <v>273</v>
      </c>
      <c r="J38" s="67"/>
    </row>
    <row r="39" spans="1:10" x14ac:dyDescent="0.25">
      <c r="A39" s="69" t="s">
        <v>63</v>
      </c>
      <c r="B39" s="70" t="s">
        <v>712</v>
      </c>
      <c r="C39" s="67">
        <f>Таблица14[[#This Row],[5]]+Таблица14[[#This Row],[4]]+Таблица14[[#This Row],[6]]+Таблица14[[#This Row],[7]]</f>
        <v>2.218</v>
      </c>
      <c r="D39" s="67"/>
      <c r="E39" s="67">
        <v>2.218</v>
      </c>
      <c r="F39" s="67"/>
      <c r="G39" s="71"/>
      <c r="H39" s="66">
        <v>31</v>
      </c>
      <c r="I39" s="67">
        <f t="shared" si="0"/>
        <v>273</v>
      </c>
      <c r="J39" s="67"/>
    </row>
    <row r="40" spans="1:10" x14ac:dyDescent="0.25">
      <c r="A40" s="69" t="s">
        <v>65</v>
      </c>
      <c r="B40" s="70" t="s">
        <v>66</v>
      </c>
      <c r="C40" s="67">
        <f>Таблица14[[#This Row],[5]]+Таблица14[[#This Row],[4]]+Таблица14[[#This Row],[6]]+Таблица14[[#This Row],[7]]</f>
        <v>3</v>
      </c>
      <c r="D40" s="67">
        <v>3</v>
      </c>
      <c r="E40" s="67"/>
      <c r="F40" s="67">
        <v>0</v>
      </c>
      <c r="G40" s="71"/>
      <c r="H40" s="67">
        <v>32</v>
      </c>
      <c r="I40" s="67">
        <f t="shared" si="0"/>
        <v>273</v>
      </c>
      <c r="J40" s="67"/>
    </row>
    <row r="41" spans="1:10" x14ac:dyDescent="0.25">
      <c r="A41" s="69" t="s">
        <v>67</v>
      </c>
      <c r="B41" s="70" t="s">
        <v>605</v>
      </c>
      <c r="C41" s="67">
        <f>Таблица14[[#This Row],[5]]+Таблица14[[#This Row],[4]]+Таблица14[[#This Row],[6]]+Таблица14[[#This Row],[7]]</f>
        <v>2</v>
      </c>
      <c r="D41" s="67"/>
      <c r="E41" s="67"/>
      <c r="F41" s="67">
        <v>2</v>
      </c>
      <c r="G41" s="71"/>
      <c r="H41" s="66">
        <v>33</v>
      </c>
      <c r="I41" s="67">
        <f t="shared" ref="I41:I72" si="1">169+104</f>
        <v>273</v>
      </c>
      <c r="J41" s="67"/>
    </row>
    <row r="42" spans="1:10" x14ac:dyDescent="0.25">
      <c r="A42" s="69" t="s">
        <v>68</v>
      </c>
      <c r="B42" s="70" t="s">
        <v>607</v>
      </c>
      <c r="C42" s="67">
        <f>Таблица14[[#This Row],[5]]+Таблица14[[#This Row],[4]]+Таблица14[[#This Row],[6]]+Таблица14[[#This Row],[7]]</f>
        <v>1.8</v>
      </c>
      <c r="D42" s="67"/>
      <c r="E42" s="67"/>
      <c r="F42" s="67">
        <v>1.8</v>
      </c>
      <c r="G42" s="71"/>
      <c r="H42" s="67">
        <v>34</v>
      </c>
      <c r="I42" s="67">
        <f t="shared" si="1"/>
        <v>273</v>
      </c>
      <c r="J42" s="67"/>
    </row>
    <row r="43" spans="1:10" x14ac:dyDescent="0.25">
      <c r="A43" s="69" t="s">
        <v>70</v>
      </c>
      <c r="B43" s="70" t="s">
        <v>713</v>
      </c>
      <c r="C43" s="67">
        <f>Таблица14[[#This Row],[5]]+Таблица14[[#This Row],[4]]+Таблица14[[#This Row],[6]]+Таблица14[[#This Row],[7]]</f>
        <v>1</v>
      </c>
      <c r="D43" s="67">
        <v>1</v>
      </c>
      <c r="E43" s="67"/>
      <c r="F43" s="67"/>
      <c r="G43" s="71"/>
      <c r="H43" s="66">
        <v>35</v>
      </c>
      <c r="I43" s="67">
        <f t="shared" si="1"/>
        <v>273</v>
      </c>
      <c r="J43" s="67"/>
    </row>
    <row r="44" spans="1:10" x14ac:dyDescent="0.25">
      <c r="A44" s="69" t="s">
        <v>71</v>
      </c>
      <c r="B44" s="70" t="s">
        <v>72</v>
      </c>
      <c r="C44" s="67">
        <f>Таблица14[[#This Row],[5]]+Таблица14[[#This Row],[4]]+Таблица14[[#This Row],[6]]+Таблица14[[#This Row],[7]]</f>
        <v>1</v>
      </c>
      <c r="D44" s="67">
        <v>1</v>
      </c>
      <c r="E44" s="67"/>
      <c r="F44" s="67"/>
      <c r="G44" s="71"/>
      <c r="H44" s="67">
        <v>36</v>
      </c>
      <c r="I44" s="67">
        <f t="shared" si="1"/>
        <v>273</v>
      </c>
      <c r="J44" s="67"/>
    </row>
    <row r="45" spans="1:10" x14ac:dyDescent="0.25">
      <c r="A45" s="69" t="s">
        <v>73</v>
      </c>
      <c r="B45" s="70" t="s">
        <v>74</v>
      </c>
      <c r="C45" s="67">
        <f>Таблица14[[#This Row],[5]]+Таблица14[[#This Row],[4]]+Таблица14[[#This Row],[6]]+Таблица14[[#This Row],[7]]</f>
        <v>2</v>
      </c>
      <c r="D45" s="67">
        <v>2</v>
      </c>
      <c r="E45" s="67"/>
      <c r="F45" s="67"/>
      <c r="G45" s="71"/>
      <c r="H45" s="66">
        <v>37</v>
      </c>
      <c r="I45" s="67">
        <f t="shared" si="1"/>
        <v>273</v>
      </c>
      <c r="J45" s="67"/>
    </row>
    <row r="46" spans="1:10" x14ac:dyDescent="0.25">
      <c r="A46" s="69" t="s">
        <v>75</v>
      </c>
      <c r="B46" s="70" t="s">
        <v>76</v>
      </c>
      <c r="C46" s="67">
        <f>Таблица14[[#This Row],[5]]+Таблица14[[#This Row],[4]]+Таблица14[[#This Row],[6]]+Таблица14[[#This Row],[7]]</f>
        <v>3</v>
      </c>
      <c r="D46" s="67">
        <v>3</v>
      </c>
      <c r="E46" s="67"/>
      <c r="F46" s="67"/>
      <c r="G46" s="71"/>
      <c r="H46" s="67">
        <v>38</v>
      </c>
      <c r="I46" s="67">
        <f t="shared" si="1"/>
        <v>273</v>
      </c>
      <c r="J46" s="67"/>
    </row>
    <row r="47" spans="1:10" x14ac:dyDescent="0.25">
      <c r="A47" s="69" t="s">
        <v>77</v>
      </c>
      <c r="B47" s="70" t="s">
        <v>609</v>
      </c>
      <c r="C47" s="67">
        <f>Таблица14[[#This Row],[5]]+Таблица14[[#This Row],[4]]+Таблица14[[#This Row],[6]]+Таблица14[[#This Row],[7]]</f>
        <v>5</v>
      </c>
      <c r="D47" s="67"/>
      <c r="E47" s="67"/>
      <c r="F47" s="67">
        <v>5</v>
      </c>
      <c r="G47" s="71"/>
      <c r="H47" s="66">
        <v>39</v>
      </c>
      <c r="I47" s="67">
        <f t="shared" si="1"/>
        <v>273</v>
      </c>
      <c r="J47" s="67"/>
    </row>
    <row r="48" spans="1:10" x14ac:dyDescent="0.25">
      <c r="A48" s="69" t="s">
        <v>79</v>
      </c>
      <c r="B48" s="70" t="s">
        <v>714</v>
      </c>
      <c r="C48" s="67">
        <f>Таблица14[[#This Row],[5]]+Таблица14[[#This Row],[4]]+Таблица14[[#This Row],[6]]+Таблица14[[#This Row],[7]]</f>
        <v>3</v>
      </c>
      <c r="D48" s="67">
        <v>3</v>
      </c>
      <c r="E48" s="67"/>
      <c r="F48" s="67"/>
      <c r="G48" s="71"/>
      <c r="H48" s="67">
        <v>40</v>
      </c>
      <c r="I48" s="67">
        <f t="shared" si="1"/>
        <v>273</v>
      </c>
      <c r="J48" s="67"/>
    </row>
    <row r="49" spans="1:10" x14ac:dyDescent="0.25">
      <c r="A49" s="69" t="s">
        <v>80</v>
      </c>
      <c r="B49" s="70" t="s">
        <v>613</v>
      </c>
      <c r="C49" s="67">
        <f>Таблица14[[#This Row],[5]]+Таблица14[[#This Row],[4]]+Таблица14[[#This Row],[6]]+Таблица14[[#This Row],[7]]</f>
        <v>1.5</v>
      </c>
      <c r="D49" s="67"/>
      <c r="E49" s="67"/>
      <c r="F49" s="67">
        <v>1.5</v>
      </c>
      <c r="G49" s="71"/>
      <c r="H49" s="66">
        <v>41</v>
      </c>
      <c r="I49" s="67">
        <f t="shared" si="1"/>
        <v>273</v>
      </c>
      <c r="J49" s="67"/>
    </row>
    <row r="50" spans="1:10" x14ac:dyDescent="0.25">
      <c r="A50" s="69" t="s">
        <v>82</v>
      </c>
      <c r="B50" s="70" t="s">
        <v>83</v>
      </c>
      <c r="C50" s="67">
        <f>Таблица14[[#This Row],[5]]+Таблица14[[#This Row],[4]]+Таблица14[[#This Row],[6]]+Таблица14[[#This Row],[7]]</f>
        <v>4</v>
      </c>
      <c r="D50" s="67">
        <v>4</v>
      </c>
      <c r="E50" s="67"/>
      <c r="F50" s="67"/>
      <c r="G50" s="71"/>
      <c r="H50" s="67">
        <v>42</v>
      </c>
      <c r="I50" s="67">
        <f t="shared" si="1"/>
        <v>273</v>
      </c>
      <c r="J50" s="67"/>
    </row>
    <row r="51" spans="1:10" x14ac:dyDescent="0.25">
      <c r="A51" s="69" t="s">
        <v>84</v>
      </c>
      <c r="B51" s="70" t="s">
        <v>85</v>
      </c>
      <c r="C51" s="67">
        <f>Таблица14[[#This Row],[5]]+Таблица14[[#This Row],[4]]+Таблица14[[#This Row],[6]]+Таблица14[[#This Row],[7]]</f>
        <v>2</v>
      </c>
      <c r="D51" s="67">
        <v>2</v>
      </c>
      <c r="E51" s="67"/>
      <c r="F51" s="67"/>
      <c r="G51" s="71"/>
      <c r="H51" s="66">
        <v>43</v>
      </c>
      <c r="I51" s="67">
        <f t="shared" si="1"/>
        <v>273</v>
      </c>
      <c r="J51" s="67"/>
    </row>
    <row r="52" spans="1:10" x14ac:dyDescent="0.25">
      <c r="A52" s="69" t="s">
        <v>86</v>
      </c>
      <c r="B52" s="70" t="s">
        <v>615</v>
      </c>
      <c r="C52" s="67">
        <f>Таблица14[[#This Row],[5]]+Таблица14[[#This Row],[4]]+Таблица14[[#This Row],[6]]+Таблица14[[#This Row],[7]]</f>
        <v>3.5</v>
      </c>
      <c r="D52" s="67">
        <v>0</v>
      </c>
      <c r="E52" s="67"/>
      <c r="F52" s="67">
        <v>3.5</v>
      </c>
      <c r="G52" s="71"/>
      <c r="H52" s="67">
        <v>44</v>
      </c>
      <c r="I52" s="67">
        <f t="shared" si="1"/>
        <v>273</v>
      </c>
      <c r="J52" s="67"/>
    </row>
    <row r="53" spans="1:10" x14ac:dyDescent="0.25">
      <c r="A53" s="69" t="s">
        <v>88</v>
      </c>
      <c r="B53" s="70" t="s">
        <v>715</v>
      </c>
      <c r="C53" s="67">
        <f>Таблица14[[#This Row],[5]]+Таблица14[[#This Row],[4]]+Таблица14[[#This Row],[6]]+Таблица14[[#This Row],[7]]</f>
        <v>0.4</v>
      </c>
      <c r="D53" s="67">
        <v>0.4</v>
      </c>
      <c r="E53" s="67"/>
      <c r="F53" s="67"/>
      <c r="G53" s="71"/>
      <c r="H53" s="66">
        <v>45</v>
      </c>
      <c r="I53" s="67">
        <f t="shared" si="1"/>
        <v>273</v>
      </c>
      <c r="J53" s="67"/>
    </row>
    <row r="54" spans="1:10" x14ac:dyDescent="0.25">
      <c r="A54" s="69" t="s">
        <v>90</v>
      </c>
      <c r="B54" s="70" t="s">
        <v>611</v>
      </c>
      <c r="C54" s="67">
        <f>Таблица14[[#This Row],[5]]+Таблица14[[#This Row],[4]]+Таблица14[[#This Row],[6]]+Таблица14[[#This Row],[7]]</f>
        <v>0.65</v>
      </c>
      <c r="D54" s="67"/>
      <c r="E54" s="67"/>
      <c r="F54" s="67">
        <v>0.65</v>
      </c>
      <c r="G54" s="71"/>
      <c r="H54" s="67">
        <v>46</v>
      </c>
      <c r="I54" s="67">
        <f t="shared" si="1"/>
        <v>273</v>
      </c>
      <c r="J54" s="67"/>
    </row>
    <row r="55" spans="1:10" x14ac:dyDescent="0.25">
      <c r="A55" s="69" t="s">
        <v>92</v>
      </c>
      <c r="B55" s="70" t="s">
        <v>93</v>
      </c>
      <c r="C55" s="67">
        <f>Таблица14[[#This Row],[5]]+Таблица14[[#This Row],[4]]+Таблица14[[#This Row],[6]]+Таблица14[[#This Row],[7]]</f>
        <v>5</v>
      </c>
      <c r="D55" s="67">
        <v>5</v>
      </c>
      <c r="E55" s="67"/>
      <c r="F55" s="67"/>
      <c r="G55" s="71"/>
      <c r="H55" s="66">
        <v>47</v>
      </c>
      <c r="I55" s="67">
        <f t="shared" si="1"/>
        <v>273</v>
      </c>
      <c r="J55" s="67"/>
    </row>
    <row r="56" spans="1:10" x14ac:dyDescent="0.25">
      <c r="A56" s="69" t="s">
        <v>94</v>
      </c>
      <c r="B56" s="70" t="s">
        <v>95</v>
      </c>
      <c r="C56" s="67">
        <f>Таблица14[[#This Row],[5]]+Таблица14[[#This Row],[4]]+Таблица14[[#This Row],[6]]+Таблица14[[#This Row],[7]]</f>
        <v>4</v>
      </c>
      <c r="D56" s="67">
        <v>4</v>
      </c>
      <c r="E56" s="67"/>
      <c r="F56" s="67"/>
      <c r="G56" s="71"/>
      <c r="H56" s="67">
        <v>48</v>
      </c>
      <c r="I56" s="67">
        <f t="shared" si="1"/>
        <v>273</v>
      </c>
      <c r="J56" s="67"/>
    </row>
    <row r="57" spans="1:10" x14ac:dyDescent="0.25">
      <c r="A57" s="69" t="s">
        <v>96</v>
      </c>
      <c r="B57" s="70" t="s">
        <v>97</v>
      </c>
      <c r="C57" s="67">
        <f>Таблица14[[#This Row],[5]]+Таблица14[[#This Row],[4]]+Таблица14[[#This Row],[6]]+Таблица14[[#This Row],[7]]</f>
        <v>4</v>
      </c>
      <c r="D57" s="67">
        <v>4</v>
      </c>
      <c r="E57" s="67"/>
      <c r="F57" s="67"/>
      <c r="G57" s="71"/>
      <c r="H57" s="66">
        <v>49</v>
      </c>
      <c r="I57" s="67">
        <f t="shared" si="1"/>
        <v>273</v>
      </c>
      <c r="J57" s="67"/>
    </row>
    <row r="58" spans="1:10" x14ac:dyDescent="0.25">
      <c r="A58" s="69" t="s">
        <v>98</v>
      </c>
      <c r="B58" s="70" t="s">
        <v>99</v>
      </c>
      <c r="C58" s="67">
        <f>Таблица14[[#This Row],[5]]+Таблица14[[#This Row],[4]]+Таблица14[[#This Row],[6]]+Таблица14[[#This Row],[7]]</f>
        <v>2</v>
      </c>
      <c r="D58" s="67">
        <v>2</v>
      </c>
      <c r="E58" s="67"/>
      <c r="F58" s="67"/>
      <c r="G58" s="71"/>
      <c r="H58" s="67">
        <v>50</v>
      </c>
      <c r="I58" s="67">
        <f t="shared" si="1"/>
        <v>273</v>
      </c>
      <c r="J58" s="67"/>
    </row>
    <row r="59" spans="1:10" x14ac:dyDescent="0.25">
      <c r="A59" s="69" t="s">
        <v>100</v>
      </c>
      <c r="B59" s="70" t="s">
        <v>101</v>
      </c>
      <c r="C59" s="67">
        <f>Таблица14[[#This Row],[5]]+Таблица14[[#This Row],[4]]+Таблица14[[#This Row],[6]]+Таблица14[[#This Row],[7]]</f>
        <v>2</v>
      </c>
      <c r="D59" s="67">
        <v>2</v>
      </c>
      <c r="E59" s="67"/>
      <c r="F59" s="67"/>
      <c r="G59" s="71"/>
      <c r="H59" s="66">
        <v>51</v>
      </c>
      <c r="I59" s="67">
        <f t="shared" si="1"/>
        <v>273</v>
      </c>
      <c r="J59" s="67"/>
    </row>
    <row r="60" spans="1:10" x14ac:dyDescent="0.25">
      <c r="A60" s="69" t="s">
        <v>102</v>
      </c>
      <c r="B60" s="70" t="s">
        <v>103</v>
      </c>
      <c r="C60" s="67">
        <f>Таблица14[[#This Row],[5]]+Таблица14[[#This Row],[4]]+Таблица14[[#This Row],[6]]+Таблица14[[#This Row],[7]]</f>
        <v>3</v>
      </c>
      <c r="D60" s="67">
        <v>3</v>
      </c>
      <c r="E60" s="67"/>
      <c r="F60" s="67"/>
      <c r="G60" s="71"/>
      <c r="H60" s="67">
        <v>52</v>
      </c>
      <c r="I60" s="67">
        <f t="shared" si="1"/>
        <v>273</v>
      </c>
      <c r="J60" s="67"/>
    </row>
    <row r="61" spans="1:10" x14ac:dyDescent="0.25">
      <c r="A61" s="69" t="s">
        <v>104</v>
      </c>
      <c r="B61" s="70" t="s">
        <v>716</v>
      </c>
      <c r="C61" s="67">
        <f>Таблица14[[#This Row],[5]]+Таблица14[[#This Row],[4]]+Таблица14[[#This Row],[6]]+Таблица14[[#This Row],[7]]</f>
        <v>2</v>
      </c>
      <c r="D61" s="67">
        <v>2</v>
      </c>
      <c r="E61" s="67"/>
      <c r="F61" s="67"/>
      <c r="G61" s="71"/>
      <c r="H61" s="66">
        <v>53</v>
      </c>
      <c r="I61" s="67">
        <f t="shared" si="1"/>
        <v>273</v>
      </c>
      <c r="J61" s="67"/>
    </row>
    <row r="62" spans="1:10" x14ac:dyDescent="0.25">
      <c r="A62" s="69" t="s">
        <v>106</v>
      </c>
      <c r="B62" s="70" t="s">
        <v>107</v>
      </c>
      <c r="C62" s="67">
        <f>Таблица14[[#This Row],[5]]+Таблица14[[#This Row],[4]]+Таблица14[[#This Row],[6]]+Таблица14[[#This Row],[7]]</f>
        <v>2</v>
      </c>
      <c r="D62" s="67">
        <v>2</v>
      </c>
      <c r="E62" s="67"/>
      <c r="F62" s="67"/>
      <c r="G62" s="71"/>
      <c r="H62" s="67">
        <v>54</v>
      </c>
      <c r="I62" s="67">
        <f t="shared" si="1"/>
        <v>273</v>
      </c>
      <c r="J62" s="67"/>
    </row>
    <row r="63" spans="1:10" x14ac:dyDescent="0.25">
      <c r="A63" s="69" t="s">
        <v>108</v>
      </c>
      <c r="B63" s="70" t="s">
        <v>109</v>
      </c>
      <c r="C63" s="67">
        <f>Таблица14[[#This Row],[5]]+Таблица14[[#This Row],[4]]+Таблица14[[#This Row],[6]]+Таблица14[[#This Row],[7]]</f>
        <v>2</v>
      </c>
      <c r="D63" s="67">
        <v>2</v>
      </c>
      <c r="E63" s="67"/>
      <c r="F63" s="67"/>
      <c r="G63" s="71"/>
      <c r="H63" s="66">
        <v>55</v>
      </c>
      <c r="I63" s="67">
        <f t="shared" si="1"/>
        <v>273</v>
      </c>
      <c r="J63" s="67"/>
    </row>
    <row r="64" spans="1:10" x14ac:dyDescent="0.25">
      <c r="A64" s="69" t="s">
        <v>110</v>
      </c>
      <c r="B64" s="70" t="s">
        <v>111</v>
      </c>
      <c r="C64" s="67">
        <f>Таблица14[[#This Row],[5]]+Таблица14[[#This Row],[4]]+Таблица14[[#This Row],[6]]+Таблица14[[#This Row],[7]]</f>
        <v>2</v>
      </c>
      <c r="D64" s="67">
        <v>2</v>
      </c>
      <c r="E64" s="67"/>
      <c r="F64" s="67"/>
      <c r="G64" s="71"/>
      <c r="H64" s="67">
        <v>56</v>
      </c>
      <c r="I64" s="67">
        <f t="shared" si="1"/>
        <v>273</v>
      </c>
      <c r="J64" s="67"/>
    </row>
    <row r="65" spans="1:10" x14ac:dyDescent="0.25">
      <c r="A65" s="69" t="s">
        <v>112</v>
      </c>
      <c r="B65" s="70" t="s">
        <v>113</v>
      </c>
      <c r="C65" s="67">
        <f>Таблица14[[#This Row],[5]]+Таблица14[[#This Row],[4]]+Таблица14[[#This Row],[6]]+Таблица14[[#This Row],[7]]</f>
        <v>2</v>
      </c>
      <c r="D65" s="67"/>
      <c r="E65" s="67">
        <v>2</v>
      </c>
      <c r="F65" s="67"/>
      <c r="G65" s="71"/>
      <c r="H65" s="66">
        <v>57</v>
      </c>
      <c r="I65" s="67">
        <f t="shared" si="1"/>
        <v>273</v>
      </c>
      <c r="J65" s="67"/>
    </row>
    <row r="66" spans="1:10" x14ac:dyDescent="0.25">
      <c r="A66" s="69" t="s">
        <v>114</v>
      </c>
      <c r="B66" s="70" t="s">
        <v>717</v>
      </c>
      <c r="C66" s="67">
        <f>Таблица14[[#This Row],[5]]+Таблица14[[#This Row],[4]]+Таблица14[[#This Row],[6]]+Таблица14[[#This Row],[7]]</f>
        <v>4</v>
      </c>
      <c r="D66" s="67">
        <v>1.5</v>
      </c>
      <c r="E66" s="67">
        <v>2.5</v>
      </c>
      <c r="F66" s="67"/>
      <c r="G66" s="71"/>
      <c r="H66" s="67">
        <v>58</v>
      </c>
      <c r="I66" s="67">
        <f t="shared" si="1"/>
        <v>273</v>
      </c>
      <c r="J66" s="67"/>
    </row>
    <row r="67" spans="1:10" x14ac:dyDescent="0.25">
      <c r="A67" s="69" t="s">
        <v>115</v>
      </c>
      <c r="B67" s="70" t="s">
        <v>116</v>
      </c>
      <c r="C67" s="67">
        <f>Таблица14[[#This Row],[5]]+Таблица14[[#This Row],[4]]+Таблица14[[#This Row],[6]]+Таблица14[[#This Row],[7]]</f>
        <v>2</v>
      </c>
      <c r="D67" s="67">
        <v>2</v>
      </c>
      <c r="E67" s="67"/>
      <c r="F67" s="67"/>
      <c r="G67" s="71"/>
      <c r="H67" s="66">
        <v>59</v>
      </c>
      <c r="I67" s="67">
        <f t="shared" si="1"/>
        <v>273</v>
      </c>
      <c r="J67" s="67"/>
    </row>
    <row r="68" spans="1:10" x14ac:dyDescent="0.25">
      <c r="A68" s="69" t="s">
        <v>117</v>
      </c>
      <c r="B68" s="70" t="s">
        <v>118</v>
      </c>
      <c r="C68" s="67">
        <f>Таблица14[[#This Row],[5]]+Таблица14[[#This Row],[4]]+Таблица14[[#This Row],[6]]+Таблица14[[#This Row],[7]]</f>
        <v>3</v>
      </c>
      <c r="D68" s="67"/>
      <c r="E68" s="67"/>
      <c r="F68" s="67">
        <v>3</v>
      </c>
      <c r="G68" s="71"/>
      <c r="H68" s="67">
        <v>60</v>
      </c>
      <c r="I68" s="67">
        <f t="shared" si="1"/>
        <v>273</v>
      </c>
      <c r="J68" s="67"/>
    </row>
    <row r="69" spans="1:10" x14ac:dyDescent="0.25">
      <c r="A69" s="69" t="s">
        <v>119</v>
      </c>
      <c r="B69" s="70" t="s">
        <v>718</v>
      </c>
      <c r="C69" s="67">
        <f>Таблица14[[#This Row],[5]]+Таблица14[[#This Row],[4]]+Таблица14[[#This Row],[6]]+Таблица14[[#This Row],[7]]</f>
        <v>2.5</v>
      </c>
      <c r="D69" s="67">
        <v>2.5</v>
      </c>
      <c r="E69" s="67"/>
      <c r="F69" s="67"/>
      <c r="G69" s="71"/>
      <c r="H69" s="66">
        <v>61</v>
      </c>
      <c r="I69" s="67">
        <f t="shared" si="1"/>
        <v>273</v>
      </c>
      <c r="J69" s="67"/>
    </row>
    <row r="70" spans="1:10" x14ac:dyDescent="0.25">
      <c r="A70" s="69" t="s">
        <v>121</v>
      </c>
      <c r="B70" s="70" t="s">
        <v>122</v>
      </c>
      <c r="C70" s="67">
        <f>Таблица14[[#This Row],[5]]+Таблица14[[#This Row],[4]]+Таблица14[[#This Row],[6]]+Таблица14[[#This Row],[7]]</f>
        <v>1.5</v>
      </c>
      <c r="D70" s="67">
        <v>1.5</v>
      </c>
      <c r="E70" s="67"/>
      <c r="F70" s="67"/>
      <c r="G70" s="71"/>
      <c r="H70" s="67">
        <v>62</v>
      </c>
      <c r="I70" s="67">
        <f t="shared" si="1"/>
        <v>273</v>
      </c>
      <c r="J70" s="67"/>
    </row>
    <row r="71" spans="1:10" x14ac:dyDescent="0.25">
      <c r="A71" s="69" t="s">
        <v>123</v>
      </c>
      <c r="B71" s="70" t="s">
        <v>124</v>
      </c>
      <c r="C71" s="67">
        <f>Таблица14[[#This Row],[5]]+Таблица14[[#This Row],[4]]+Таблица14[[#This Row],[6]]+Таблица14[[#This Row],[7]]</f>
        <v>2.1</v>
      </c>
      <c r="D71" s="67"/>
      <c r="E71" s="67"/>
      <c r="F71" s="67">
        <v>2.1</v>
      </c>
      <c r="G71" s="71"/>
      <c r="H71" s="66">
        <v>63</v>
      </c>
      <c r="I71" s="67">
        <f t="shared" si="1"/>
        <v>273</v>
      </c>
      <c r="J71" s="67"/>
    </row>
    <row r="72" spans="1:10" x14ac:dyDescent="0.25">
      <c r="A72" s="69" t="s">
        <v>125</v>
      </c>
      <c r="B72" s="70" t="s">
        <v>126</v>
      </c>
      <c r="C72" s="67">
        <f>Таблица14[[#This Row],[5]]+Таблица14[[#This Row],[4]]+Таблица14[[#This Row],[6]]+Таблица14[[#This Row],[7]]</f>
        <v>3.5</v>
      </c>
      <c r="D72" s="67">
        <v>3.5</v>
      </c>
      <c r="E72" s="67"/>
      <c r="F72" s="67"/>
      <c r="G72" s="71"/>
      <c r="H72" s="67">
        <v>64</v>
      </c>
      <c r="I72" s="67">
        <f t="shared" si="1"/>
        <v>273</v>
      </c>
      <c r="J72" s="67"/>
    </row>
    <row r="73" spans="1:10" x14ac:dyDescent="0.25">
      <c r="A73" s="69" t="s">
        <v>127</v>
      </c>
      <c r="B73" s="70" t="s">
        <v>719</v>
      </c>
      <c r="C73" s="67">
        <f>Таблица14[[#This Row],[5]]+Таблица14[[#This Row],[4]]+Таблица14[[#This Row],[6]]+Таблица14[[#This Row],[7]]</f>
        <v>3</v>
      </c>
      <c r="D73" s="67">
        <v>3</v>
      </c>
      <c r="E73" s="67"/>
      <c r="F73" s="67"/>
      <c r="G73" s="71"/>
      <c r="H73" s="66">
        <v>65</v>
      </c>
      <c r="I73" s="67">
        <f t="shared" ref="I73:I104" si="2">169+104</f>
        <v>273</v>
      </c>
      <c r="J73" s="67"/>
    </row>
    <row r="74" spans="1:10" x14ac:dyDescent="0.25">
      <c r="A74" s="69" t="s">
        <v>129</v>
      </c>
      <c r="B74" s="70" t="s">
        <v>720</v>
      </c>
      <c r="C74" s="67">
        <f>Таблица14[[#This Row],[5]]+Таблица14[[#This Row],[4]]+Таблица14[[#This Row],[6]]+Таблица14[[#This Row],[7]]</f>
        <v>2</v>
      </c>
      <c r="D74" s="67"/>
      <c r="E74" s="67">
        <v>2</v>
      </c>
      <c r="F74" s="67"/>
      <c r="G74" s="71"/>
      <c r="H74" s="67">
        <v>66</v>
      </c>
      <c r="I74" s="67">
        <f t="shared" si="2"/>
        <v>273</v>
      </c>
      <c r="J74" s="67"/>
    </row>
    <row r="75" spans="1:10" x14ac:dyDescent="0.25">
      <c r="A75" s="69" t="s">
        <v>131</v>
      </c>
      <c r="B75" s="70" t="s">
        <v>132</v>
      </c>
      <c r="C75" s="67">
        <f>Таблица14[[#This Row],[5]]+Таблица14[[#This Row],[4]]+Таблица14[[#This Row],[6]]+Таблица14[[#This Row],[7]]</f>
        <v>0.5</v>
      </c>
      <c r="D75" s="67"/>
      <c r="E75" s="67">
        <v>0.5</v>
      </c>
      <c r="F75" s="67"/>
      <c r="G75" s="71"/>
      <c r="H75" s="66">
        <v>67</v>
      </c>
      <c r="I75" s="67">
        <f t="shared" si="2"/>
        <v>273</v>
      </c>
      <c r="J75" s="67"/>
    </row>
    <row r="76" spans="1:10" x14ac:dyDescent="0.25">
      <c r="A76" s="69" t="s">
        <v>133</v>
      </c>
      <c r="B76" s="70" t="s">
        <v>134</v>
      </c>
      <c r="C76" s="67">
        <f>Таблица14[[#This Row],[5]]+Таблица14[[#This Row],[4]]+Таблица14[[#This Row],[6]]+Таблица14[[#This Row],[7]]</f>
        <v>4</v>
      </c>
      <c r="D76" s="67">
        <v>4</v>
      </c>
      <c r="E76" s="67"/>
      <c r="F76" s="67"/>
      <c r="G76" s="71"/>
      <c r="H76" s="67">
        <v>68</v>
      </c>
      <c r="I76" s="67">
        <f t="shared" si="2"/>
        <v>273</v>
      </c>
      <c r="J76" s="67"/>
    </row>
    <row r="77" spans="1:10" x14ac:dyDescent="0.25">
      <c r="A77" s="69" t="s">
        <v>135</v>
      </c>
      <c r="B77" s="70" t="s">
        <v>721</v>
      </c>
      <c r="C77" s="67">
        <f>Таблица14[[#This Row],[5]]+Таблица14[[#This Row],[4]]+Таблица14[[#This Row],[6]]+Таблица14[[#This Row],[7]]</f>
        <v>0.2</v>
      </c>
      <c r="D77" s="67">
        <v>0.2</v>
      </c>
      <c r="E77" s="67"/>
      <c r="F77" s="67"/>
      <c r="G77" s="71"/>
      <c r="H77" s="66">
        <v>69</v>
      </c>
      <c r="I77" s="67">
        <f t="shared" si="2"/>
        <v>273</v>
      </c>
      <c r="J77" s="67"/>
    </row>
    <row r="78" spans="1:10" x14ac:dyDescent="0.25">
      <c r="A78" s="69" t="s">
        <v>137</v>
      </c>
      <c r="B78" s="70" t="s">
        <v>138</v>
      </c>
      <c r="C78" s="67">
        <f>Таблица14[[#This Row],[5]]+Таблица14[[#This Row],[4]]+Таблица14[[#This Row],[6]]+Таблица14[[#This Row],[7]]</f>
        <v>1.5</v>
      </c>
      <c r="D78" s="67">
        <v>0</v>
      </c>
      <c r="E78" s="67">
        <v>1.5</v>
      </c>
      <c r="F78" s="67"/>
      <c r="G78" s="71"/>
      <c r="H78" s="67">
        <v>70</v>
      </c>
      <c r="I78" s="67">
        <f t="shared" si="2"/>
        <v>273</v>
      </c>
      <c r="J78" s="67"/>
    </row>
    <row r="79" spans="1:10" x14ac:dyDescent="0.25">
      <c r="A79" s="69" t="s">
        <v>139</v>
      </c>
      <c r="B79" s="70" t="s">
        <v>140</v>
      </c>
      <c r="C79" s="67">
        <f>Таблица14[[#This Row],[5]]+Таблица14[[#This Row],[4]]+Таблица14[[#This Row],[6]]+Таблица14[[#This Row],[7]]</f>
        <v>3</v>
      </c>
      <c r="D79" s="67">
        <v>3</v>
      </c>
      <c r="E79" s="67"/>
      <c r="F79" s="67"/>
      <c r="G79" s="71"/>
      <c r="H79" s="66">
        <v>71</v>
      </c>
      <c r="I79" s="67">
        <f t="shared" si="2"/>
        <v>273</v>
      </c>
      <c r="J79" s="67"/>
    </row>
    <row r="80" spans="1:10" x14ac:dyDescent="0.25">
      <c r="A80" s="69" t="s">
        <v>141</v>
      </c>
      <c r="B80" s="70" t="s">
        <v>722</v>
      </c>
      <c r="C80" s="67">
        <f>Таблица14[[#This Row],[5]]+Таблица14[[#This Row],[4]]+Таблица14[[#This Row],[6]]+Таблица14[[#This Row],[7]]</f>
        <v>2</v>
      </c>
      <c r="D80" s="67"/>
      <c r="E80" s="67"/>
      <c r="F80" s="67">
        <v>2</v>
      </c>
      <c r="G80" s="71"/>
      <c r="H80" s="67">
        <v>72</v>
      </c>
      <c r="I80" s="67">
        <f t="shared" si="2"/>
        <v>273</v>
      </c>
      <c r="J80" s="67"/>
    </row>
    <row r="81" spans="1:10" x14ac:dyDescent="0.25">
      <c r="A81" s="69" t="s">
        <v>143</v>
      </c>
      <c r="B81" s="70" t="s">
        <v>723</v>
      </c>
      <c r="C81" s="67">
        <f>Таблица14[[#This Row],[5]]+Таблица14[[#This Row],[4]]+Таблица14[[#This Row],[6]]+Таблица14[[#This Row],[7]]</f>
        <v>1</v>
      </c>
      <c r="D81" s="67">
        <v>1</v>
      </c>
      <c r="E81" s="67"/>
      <c r="F81" s="67"/>
      <c r="G81" s="71"/>
      <c r="H81" s="66">
        <v>73</v>
      </c>
      <c r="I81" s="67">
        <f t="shared" si="2"/>
        <v>273</v>
      </c>
      <c r="J81" s="67"/>
    </row>
    <row r="82" spans="1:10" x14ac:dyDescent="0.25">
      <c r="A82" s="69" t="s">
        <v>145</v>
      </c>
      <c r="B82" s="70" t="s">
        <v>724</v>
      </c>
      <c r="C82" s="67">
        <f>Таблица14[[#This Row],[5]]+Таблица14[[#This Row],[4]]+Таблица14[[#This Row],[6]]+Таблица14[[#This Row],[7]]</f>
        <v>1.5</v>
      </c>
      <c r="D82" s="67">
        <v>1.5</v>
      </c>
      <c r="E82" s="67"/>
      <c r="F82" s="67"/>
      <c r="G82" s="71"/>
      <c r="H82" s="67">
        <v>74</v>
      </c>
      <c r="I82" s="67">
        <f t="shared" si="2"/>
        <v>273</v>
      </c>
      <c r="J82" s="67"/>
    </row>
    <row r="83" spans="1:10" x14ac:dyDescent="0.25">
      <c r="A83" s="69" t="s">
        <v>147</v>
      </c>
      <c r="B83" s="70" t="s">
        <v>148</v>
      </c>
      <c r="C83" s="67">
        <f>Таблица14[[#This Row],[5]]+Таблица14[[#This Row],[4]]+Таблица14[[#This Row],[6]]+Таблица14[[#This Row],[7]]</f>
        <v>4</v>
      </c>
      <c r="D83" s="67">
        <v>4</v>
      </c>
      <c r="E83" s="67"/>
      <c r="F83" s="67"/>
      <c r="G83" s="71"/>
      <c r="H83" s="66">
        <v>75</v>
      </c>
      <c r="I83" s="67">
        <f t="shared" si="2"/>
        <v>273</v>
      </c>
      <c r="J83" s="67"/>
    </row>
    <row r="84" spans="1:10" x14ac:dyDescent="0.25">
      <c r="A84" s="69" t="s">
        <v>149</v>
      </c>
      <c r="B84" s="70" t="s">
        <v>725</v>
      </c>
      <c r="C84" s="67">
        <f>Таблица14[[#This Row],[5]]+Таблица14[[#This Row],[4]]+Таблица14[[#This Row],[6]]+Таблица14[[#This Row],[7]]</f>
        <v>0.5</v>
      </c>
      <c r="D84" s="67">
        <v>0.5</v>
      </c>
      <c r="E84" s="67"/>
      <c r="F84" s="67"/>
      <c r="G84" s="71"/>
      <c r="H84" s="67">
        <v>76</v>
      </c>
      <c r="I84" s="67">
        <f t="shared" si="2"/>
        <v>273</v>
      </c>
      <c r="J84" s="67"/>
    </row>
    <row r="85" spans="1:10" x14ac:dyDescent="0.25">
      <c r="A85" s="69" t="s">
        <v>151</v>
      </c>
      <c r="B85" s="70" t="s">
        <v>726</v>
      </c>
      <c r="C85" s="67">
        <f>Таблица14[[#This Row],[5]]+Таблица14[[#This Row],[4]]+Таблица14[[#This Row],[6]]+Таблица14[[#This Row],[7]]</f>
        <v>1</v>
      </c>
      <c r="D85" s="67"/>
      <c r="E85" s="67"/>
      <c r="F85" s="67">
        <v>1</v>
      </c>
      <c r="G85" s="71"/>
      <c r="H85" s="66">
        <v>77</v>
      </c>
      <c r="I85" s="67">
        <f t="shared" si="2"/>
        <v>273</v>
      </c>
      <c r="J85" s="67"/>
    </row>
    <row r="86" spans="1:10" x14ac:dyDescent="0.25">
      <c r="A86" s="69" t="s">
        <v>153</v>
      </c>
      <c r="B86" s="70" t="s">
        <v>727</v>
      </c>
      <c r="C86" s="67">
        <f>Таблица14[[#This Row],[5]]+Таблица14[[#This Row],[4]]+Таблица14[[#This Row],[6]]+Таблица14[[#This Row],[7]]</f>
        <v>7</v>
      </c>
      <c r="D86" s="67"/>
      <c r="E86" s="67"/>
      <c r="F86" s="67">
        <v>7</v>
      </c>
      <c r="G86" s="71"/>
      <c r="H86" s="67">
        <v>78</v>
      </c>
      <c r="I86" s="67">
        <f t="shared" si="2"/>
        <v>273</v>
      </c>
      <c r="J86" s="67"/>
    </row>
    <row r="87" spans="1:10" x14ac:dyDescent="0.25">
      <c r="A87" s="69" t="s">
        <v>155</v>
      </c>
      <c r="B87" s="70" t="s">
        <v>728</v>
      </c>
      <c r="C87" s="67">
        <f>Таблица14[[#This Row],[5]]+Таблица14[[#This Row],[4]]+Таблица14[[#This Row],[6]]+Таблица14[[#This Row],[7]]</f>
        <v>2</v>
      </c>
      <c r="D87" s="67">
        <v>2</v>
      </c>
      <c r="E87" s="67"/>
      <c r="F87" s="67"/>
      <c r="G87" s="71"/>
      <c r="H87" s="66">
        <v>79</v>
      </c>
      <c r="I87" s="67">
        <f t="shared" si="2"/>
        <v>273</v>
      </c>
      <c r="J87" s="67"/>
    </row>
    <row r="88" spans="1:10" x14ac:dyDescent="0.25">
      <c r="A88" s="69" t="s">
        <v>157</v>
      </c>
      <c r="B88" s="70" t="s">
        <v>729</v>
      </c>
      <c r="C88" s="67">
        <f>Таблица14[[#This Row],[5]]+Таблица14[[#This Row],[4]]+Таблица14[[#This Row],[6]]+Таблица14[[#This Row],[7]]</f>
        <v>1.5</v>
      </c>
      <c r="D88" s="67">
        <v>1.5</v>
      </c>
      <c r="E88" s="67"/>
      <c r="F88" s="67"/>
      <c r="G88" s="71"/>
      <c r="H88" s="67">
        <v>80</v>
      </c>
      <c r="I88" s="67">
        <f t="shared" si="2"/>
        <v>273</v>
      </c>
      <c r="J88" s="67"/>
    </row>
    <row r="89" spans="1:10" x14ac:dyDescent="0.25">
      <c r="A89" s="69" t="s">
        <v>159</v>
      </c>
      <c r="B89" s="70" t="s">
        <v>160</v>
      </c>
      <c r="C89" s="67">
        <f>Таблица14[[#This Row],[5]]+Таблица14[[#This Row],[4]]+Таблица14[[#This Row],[6]]+Таблица14[[#This Row],[7]]</f>
        <v>3</v>
      </c>
      <c r="D89" s="67">
        <v>3</v>
      </c>
      <c r="E89" s="67"/>
      <c r="F89" s="67"/>
      <c r="G89" s="71"/>
      <c r="H89" s="66">
        <v>81</v>
      </c>
      <c r="I89" s="67">
        <f t="shared" si="2"/>
        <v>273</v>
      </c>
      <c r="J89" s="67"/>
    </row>
    <row r="90" spans="1:10" x14ac:dyDescent="0.25">
      <c r="A90" s="69" t="s">
        <v>161</v>
      </c>
      <c r="B90" s="70" t="s">
        <v>162</v>
      </c>
      <c r="C90" s="67">
        <f>Таблица14[[#This Row],[5]]+Таблица14[[#This Row],[4]]+Таблица14[[#This Row],[6]]+Таблица14[[#This Row],[7]]</f>
        <v>2</v>
      </c>
      <c r="D90" s="67">
        <v>2</v>
      </c>
      <c r="E90" s="67"/>
      <c r="F90" s="67"/>
      <c r="G90" s="71"/>
      <c r="H90" s="67">
        <v>82</v>
      </c>
      <c r="I90" s="67">
        <f t="shared" si="2"/>
        <v>273</v>
      </c>
      <c r="J90" s="67"/>
    </row>
    <row r="91" spans="1:10" x14ac:dyDescent="0.25">
      <c r="A91" s="69" t="s">
        <v>163</v>
      </c>
      <c r="B91" s="70" t="s">
        <v>730</v>
      </c>
      <c r="C91" s="67">
        <f>Таблица14[[#This Row],[5]]+Таблица14[[#This Row],[4]]+Таблица14[[#This Row],[6]]+Таблица14[[#This Row],[7]]</f>
        <v>5</v>
      </c>
      <c r="D91" s="72"/>
      <c r="E91" s="67">
        <v>5</v>
      </c>
      <c r="F91" s="67"/>
      <c r="G91" s="71"/>
      <c r="H91" s="66">
        <v>83</v>
      </c>
      <c r="I91" s="67">
        <f t="shared" si="2"/>
        <v>273</v>
      </c>
      <c r="J91" s="67"/>
    </row>
    <row r="92" spans="1:10" x14ac:dyDescent="0.25">
      <c r="A92" s="69" t="s">
        <v>165</v>
      </c>
      <c r="B92" s="70" t="s">
        <v>731</v>
      </c>
      <c r="C92" s="67">
        <f>Таблица14[[#This Row],[5]]+Таблица14[[#This Row],[4]]+Таблица14[[#This Row],[6]]+Таблица14[[#This Row],[7]]</f>
        <v>2</v>
      </c>
      <c r="D92" s="72"/>
      <c r="E92" s="67">
        <v>2</v>
      </c>
      <c r="F92" s="67"/>
      <c r="G92" s="71"/>
      <c r="H92" s="67">
        <v>84</v>
      </c>
      <c r="I92" s="67">
        <f t="shared" si="2"/>
        <v>273</v>
      </c>
      <c r="J92" s="67"/>
    </row>
    <row r="93" spans="1:10" x14ac:dyDescent="0.25">
      <c r="A93" s="69" t="s">
        <v>167</v>
      </c>
      <c r="B93" s="70" t="s">
        <v>732</v>
      </c>
      <c r="C93" s="67">
        <f>Таблица14[[#This Row],[5]]+Таблица14[[#This Row],[4]]+Таблица14[[#This Row],[6]]+Таблица14[[#This Row],[7]]</f>
        <v>0.5</v>
      </c>
      <c r="D93" s="67">
        <v>0.5</v>
      </c>
      <c r="E93" s="67"/>
      <c r="F93" s="67"/>
      <c r="G93" s="71"/>
      <c r="H93" s="66">
        <v>85</v>
      </c>
      <c r="I93" s="67">
        <f t="shared" si="2"/>
        <v>273</v>
      </c>
      <c r="J93" s="67"/>
    </row>
    <row r="94" spans="1:10" x14ac:dyDescent="0.25">
      <c r="A94" s="69" t="s">
        <v>169</v>
      </c>
      <c r="B94" s="70" t="s">
        <v>733</v>
      </c>
      <c r="C94" s="67">
        <f>Таблица14[[#This Row],[5]]+Таблица14[[#This Row],[4]]+Таблица14[[#This Row],[6]]+Таблица14[[#This Row],[7]]</f>
        <v>1</v>
      </c>
      <c r="D94" s="67">
        <v>1</v>
      </c>
      <c r="E94" s="67"/>
      <c r="F94" s="67"/>
      <c r="G94" s="71"/>
      <c r="H94" s="67">
        <v>86</v>
      </c>
      <c r="I94" s="67">
        <f t="shared" si="2"/>
        <v>273</v>
      </c>
      <c r="J94" s="67"/>
    </row>
    <row r="95" spans="1:10" x14ac:dyDescent="0.25">
      <c r="A95" s="69" t="s">
        <v>171</v>
      </c>
      <c r="B95" s="70" t="s">
        <v>734</v>
      </c>
      <c r="C95" s="67">
        <f>Таблица14[[#This Row],[5]]+Таблица14[[#This Row],[4]]+Таблица14[[#This Row],[6]]+Таблица14[[#This Row],[7]]</f>
        <v>2</v>
      </c>
      <c r="D95" s="67">
        <v>2</v>
      </c>
      <c r="E95" s="67"/>
      <c r="F95" s="67"/>
      <c r="G95" s="71"/>
      <c r="H95" s="66">
        <v>87</v>
      </c>
      <c r="I95" s="67">
        <f t="shared" si="2"/>
        <v>273</v>
      </c>
      <c r="J95" s="67"/>
    </row>
    <row r="96" spans="1:10" x14ac:dyDescent="0.25">
      <c r="A96" s="69" t="s">
        <v>173</v>
      </c>
      <c r="B96" s="70" t="s">
        <v>735</v>
      </c>
      <c r="C96" s="67">
        <f>Таблица14[[#This Row],[5]]+Таблица14[[#This Row],[4]]+Таблица14[[#This Row],[6]]+Таблица14[[#This Row],[7]]</f>
        <v>2</v>
      </c>
      <c r="D96" s="67">
        <v>2</v>
      </c>
      <c r="E96" s="67"/>
      <c r="F96" s="67"/>
      <c r="G96" s="71"/>
      <c r="H96" s="67">
        <v>88</v>
      </c>
      <c r="I96" s="67">
        <f t="shared" si="2"/>
        <v>273</v>
      </c>
      <c r="J96" s="67"/>
    </row>
    <row r="97" spans="1:10" x14ac:dyDescent="0.25">
      <c r="A97" s="69" t="s">
        <v>175</v>
      </c>
      <c r="B97" s="70" t="s">
        <v>736</v>
      </c>
      <c r="C97" s="67">
        <f>Таблица14[[#This Row],[5]]+Таблица14[[#This Row],[4]]+Таблица14[[#This Row],[6]]+Таблица14[[#This Row],[7]]</f>
        <v>1</v>
      </c>
      <c r="D97" s="67">
        <v>1</v>
      </c>
      <c r="E97" s="67"/>
      <c r="F97" s="67"/>
      <c r="G97" s="71"/>
      <c r="H97" s="66">
        <v>89</v>
      </c>
      <c r="I97" s="67">
        <f t="shared" si="2"/>
        <v>273</v>
      </c>
      <c r="J97" s="67"/>
    </row>
    <row r="98" spans="1:10" x14ac:dyDescent="0.25">
      <c r="A98" s="69" t="s">
        <v>177</v>
      </c>
      <c r="B98" s="70" t="s">
        <v>178</v>
      </c>
      <c r="C98" s="67">
        <f>Таблица14[[#This Row],[5]]+Таблица14[[#This Row],[4]]+Таблица14[[#This Row],[6]]+Таблица14[[#This Row],[7]]</f>
        <v>4</v>
      </c>
      <c r="D98" s="67"/>
      <c r="E98" s="67"/>
      <c r="F98" s="67"/>
      <c r="G98" s="71">
        <v>4</v>
      </c>
      <c r="H98" s="67">
        <v>90</v>
      </c>
      <c r="I98" s="67">
        <f t="shared" si="2"/>
        <v>273</v>
      </c>
      <c r="J98" s="67"/>
    </row>
    <row r="99" spans="1:10" x14ac:dyDescent="0.25">
      <c r="A99" s="69" t="s">
        <v>179</v>
      </c>
      <c r="B99" s="70" t="s">
        <v>737</v>
      </c>
      <c r="C99" s="67">
        <f>Таблица14[[#This Row],[5]]+Таблица14[[#This Row],[4]]+Таблица14[[#This Row],[6]]+Таблица14[[#This Row],[7]]</f>
        <v>2</v>
      </c>
      <c r="D99" s="67">
        <v>2</v>
      </c>
      <c r="E99" s="67"/>
      <c r="F99" s="67"/>
      <c r="G99" s="71"/>
      <c r="H99" s="66">
        <v>91</v>
      </c>
      <c r="I99" s="67">
        <f t="shared" si="2"/>
        <v>273</v>
      </c>
      <c r="J99" s="67"/>
    </row>
    <row r="100" spans="1:10" x14ac:dyDescent="0.25">
      <c r="A100" s="69" t="s">
        <v>181</v>
      </c>
      <c r="B100" s="70" t="s">
        <v>182</v>
      </c>
      <c r="C100" s="67">
        <f>Таблица14[[#This Row],[5]]+Таблица14[[#This Row],[4]]+Таблица14[[#This Row],[6]]+Таблица14[[#This Row],[7]]</f>
        <v>2.5</v>
      </c>
      <c r="D100" s="67">
        <v>2.5</v>
      </c>
      <c r="E100" s="67"/>
      <c r="F100" s="67"/>
      <c r="G100" s="71"/>
      <c r="H100" s="67">
        <v>92</v>
      </c>
      <c r="I100" s="67">
        <f t="shared" si="2"/>
        <v>273</v>
      </c>
      <c r="J100" s="67"/>
    </row>
    <row r="101" spans="1:10" x14ac:dyDescent="0.25">
      <c r="A101" s="69" t="s">
        <v>183</v>
      </c>
      <c r="B101" s="70" t="s">
        <v>184</v>
      </c>
      <c r="C101" s="67">
        <f>Таблица14[[#This Row],[5]]+Таблица14[[#This Row],[4]]+Таблица14[[#This Row],[6]]+Таблица14[[#This Row],[7]]</f>
        <v>3</v>
      </c>
      <c r="D101" s="67">
        <v>3</v>
      </c>
      <c r="E101" s="67"/>
      <c r="F101" s="67"/>
      <c r="G101" s="71"/>
      <c r="H101" s="66">
        <v>93</v>
      </c>
      <c r="I101" s="67">
        <f t="shared" si="2"/>
        <v>273</v>
      </c>
      <c r="J101" s="67"/>
    </row>
    <row r="102" spans="1:10" x14ac:dyDescent="0.25">
      <c r="A102" s="69" t="s">
        <v>185</v>
      </c>
      <c r="B102" s="70" t="s">
        <v>186</v>
      </c>
      <c r="C102" s="67">
        <f>Таблица14[[#This Row],[5]]+Таблица14[[#This Row],[4]]+Таблица14[[#This Row],[6]]+Таблица14[[#This Row],[7]]</f>
        <v>3</v>
      </c>
      <c r="D102" s="67">
        <v>3</v>
      </c>
      <c r="E102" s="67"/>
      <c r="F102" s="67"/>
      <c r="G102" s="71"/>
      <c r="H102" s="67">
        <v>94</v>
      </c>
      <c r="I102" s="67">
        <f t="shared" si="2"/>
        <v>273</v>
      </c>
      <c r="J102" s="67"/>
    </row>
    <row r="103" spans="1:10" x14ac:dyDescent="0.25">
      <c r="A103" s="69" t="s">
        <v>187</v>
      </c>
      <c r="B103" s="70" t="s">
        <v>188</v>
      </c>
      <c r="C103" s="67">
        <f>Таблица14[[#This Row],[5]]+Таблица14[[#This Row],[4]]+Таблица14[[#This Row],[6]]+Таблица14[[#This Row],[7]]</f>
        <v>2</v>
      </c>
      <c r="D103" s="67">
        <v>2</v>
      </c>
      <c r="E103" s="67"/>
      <c r="F103" s="67"/>
      <c r="G103" s="71"/>
      <c r="H103" s="66">
        <v>95</v>
      </c>
      <c r="I103" s="67">
        <f t="shared" si="2"/>
        <v>273</v>
      </c>
      <c r="J103" s="67"/>
    </row>
    <row r="104" spans="1:10" x14ac:dyDescent="0.25">
      <c r="A104" s="69" t="s">
        <v>189</v>
      </c>
      <c r="B104" s="70" t="s">
        <v>738</v>
      </c>
      <c r="C104" s="67">
        <f>Таблица14[[#This Row],[5]]+Таблица14[[#This Row],[4]]+Таблица14[[#This Row],[6]]+Таблица14[[#This Row],[7]]</f>
        <v>2.5</v>
      </c>
      <c r="D104" s="67">
        <v>1.3</v>
      </c>
      <c r="E104" s="67"/>
      <c r="F104" s="67">
        <v>1.2</v>
      </c>
      <c r="G104" s="71">
        <v>0</v>
      </c>
      <c r="H104" s="67">
        <v>96</v>
      </c>
      <c r="I104" s="67">
        <f t="shared" si="2"/>
        <v>273</v>
      </c>
      <c r="J104" s="67"/>
    </row>
    <row r="105" spans="1:10" x14ac:dyDescent="0.25">
      <c r="A105" s="69" t="s">
        <v>191</v>
      </c>
      <c r="B105" s="70" t="s">
        <v>739</v>
      </c>
      <c r="C105" s="67">
        <f>Таблица14[[#This Row],[5]]+Таблица14[[#This Row],[4]]+Таблица14[[#This Row],[6]]+Таблица14[[#This Row],[7]]</f>
        <v>1.54</v>
      </c>
      <c r="D105" s="67"/>
      <c r="E105" s="67">
        <v>1.54</v>
      </c>
      <c r="F105" s="67"/>
      <c r="G105" s="71"/>
      <c r="H105" s="66">
        <v>97</v>
      </c>
      <c r="I105" s="67">
        <f t="shared" ref="I105:I111" si="3">169+104</f>
        <v>273</v>
      </c>
      <c r="J105" s="67"/>
    </row>
    <row r="106" spans="1:10" x14ac:dyDescent="0.25">
      <c r="A106" s="69" t="s">
        <v>740</v>
      </c>
      <c r="B106" s="70" t="s">
        <v>194</v>
      </c>
      <c r="C106" s="67">
        <f>Таблица14[[#This Row],[5]]+Таблица14[[#This Row],[4]]+Таблица14[[#This Row],[6]]+Таблица14[[#This Row],[7]]</f>
        <v>3.5</v>
      </c>
      <c r="D106" s="67">
        <v>3.5</v>
      </c>
      <c r="E106" s="67"/>
      <c r="F106" s="67"/>
      <c r="G106" s="71"/>
      <c r="H106" s="67">
        <v>98</v>
      </c>
      <c r="I106" s="67">
        <f t="shared" si="3"/>
        <v>273</v>
      </c>
      <c r="J106" s="67"/>
    </row>
    <row r="107" spans="1:10" x14ac:dyDescent="0.25">
      <c r="A107" s="69" t="s">
        <v>741</v>
      </c>
      <c r="B107" s="70" t="s">
        <v>742</v>
      </c>
      <c r="C107" s="67">
        <f>Таблица14[[#This Row],[5]]+Таблица14[[#This Row],[4]]+Таблица14[[#This Row],[6]]+Таблица14[[#This Row],[7]]</f>
        <v>2.2000000000000002</v>
      </c>
      <c r="D107" s="67"/>
      <c r="E107" s="67">
        <v>2.2000000000000002</v>
      </c>
      <c r="F107" s="67"/>
      <c r="G107" s="71"/>
      <c r="H107" s="66">
        <v>99</v>
      </c>
      <c r="I107" s="67">
        <f t="shared" si="3"/>
        <v>273</v>
      </c>
      <c r="J107" s="67"/>
    </row>
    <row r="108" spans="1:10" x14ac:dyDescent="0.25">
      <c r="A108" s="69" t="s">
        <v>743</v>
      </c>
      <c r="B108" s="70" t="s">
        <v>198</v>
      </c>
      <c r="C108" s="67">
        <f>Таблица14[[#This Row],[5]]+Таблица14[[#This Row],[4]]+Таблица14[[#This Row],[6]]+Таблица14[[#This Row],[7]]</f>
        <v>1.2</v>
      </c>
      <c r="D108" s="67">
        <v>1.2</v>
      </c>
      <c r="E108" s="67"/>
      <c r="F108" s="67"/>
      <c r="G108" s="71"/>
      <c r="H108" s="67">
        <v>100</v>
      </c>
      <c r="I108" s="67">
        <f t="shared" si="3"/>
        <v>273</v>
      </c>
      <c r="J108" s="67"/>
    </row>
    <row r="109" spans="1:10" x14ac:dyDescent="0.25">
      <c r="A109" s="69" t="s">
        <v>744</v>
      </c>
      <c r="B109" s="70" t="s">
        <v>200</v>
      </c>
      <c r="C109" s="67">
        <f>Таблица14[[#This Row],[5]]+Таблица14[[#This Row],[4]]+Таблица14[[#This Row],[6]]+Таблица14[[#This Row],[7]]</f>
        <v>1.8</v>
      </c>
      <c r="D109" s="67">
        <v>1.8</v>
      </c>
      <c r="E109" s="67"/>
      <c r="F109" s="67"/>
      <c r="G109" s="71"/>
      <c r="H109" s="66">
        <v>101</v>
      </c>
      <c r="I109" s="67">
        <f t="shared" si="3"/>
        <v>273</v>
      </c>
      <c r="J109" s="67"/>
    </row>
    <row r="110" spans="1:10" x14ac:dyDescent="0.25">
      <c r="A110" s="69" t="s">
        <v>745</v>
      </c>
      <c r="B110" s="70" t="s">
        <v>202</v>
      </c>
      <c r="C110" s="67">
        <f>Таблица14[[#This Row],[5]]+Таблица14[[#This Row],[4]]+Таблица14[[#This Row],[6]]+Таблица14[[#This Row],[7]]</f>
        <v>1</v>
      </c>
      <c r="D110" s="67"/>
      <c r="E110" s="67">
        <v>1</v>
      </c>
      <c r="F110" s="67"/>
      <c r="G110" s="71"/>
      <c r="H110" s="67">
        <v>102</v>
      </c>
      <c r="I110" s="67">
        <f t="shared" si="3"/>
        <v>273</v>
      </c>
      <c r="J110" s="67"/>
    </row>
    <row r="111" spans="1:10" x14ac:dyDescent="0.25">
      <c r="A111" s="69" t="s">
        <v>746</v>
      </c>
      <c r="B111" s="70" t="s">
        <v>625</v>
      </c>
      <c r="C111" s="67">
        <f>Таблица14[[#This Row],[5]]+Таблица14[[#This Row],[4]]+Таблица14[[#This Row],[6]]+Таблица14[[#This Row],[7]]</f>
        <v>3.2</v>
      </c>
      <c r="D111" s="67"/>
      <c r="E111" s="67"/>
      <c r="F111" s="67">
        <v>3.2</v>
      </c>
      <c r="G111" s="71"/>
      <c r="H111" s="66">
        <v>103</v>
      </c>
      <c r="I111" s="67">
        <f t="shared" si="3"/>
        <v>273</v>
      </c>
      <c r="J111" s="67"/>
    </row>
    <row r="112" spans="1:10" x14ac:dyDescent="0.25">
      <c r="A112" s="69" t="s">
        <v>747</v>
      </c>
      <c r="B112" s="70" t="s">
        <v>204</v>
      </c>
      <c r="C112" s="67">
        <f>Таблица14[[#This Row],[5]]+Таблица14[[#This Row],[4]]+Таблица14[[#This Row],[6]]+Таблица14[[#This Row],[7]]</f>
        <v>2.2549999999999999</v>
      </c>
      <c r="D112" s="67"/>
      <c r="E112" s="67"/>
      <c r="F112" s="67">
        <v>2.2549999999999999</v>
      </c>
      <c r="G112" s="71"/>
      <c r="H112" s="67">
        <v>104</v>
      </c>
      <c r="I112" s="118">
        <v>274</v>
      </c>
      <c r="J112" s="118" t="e">
        <f>+ Шамордино Заболотье</f>
        <v>#NAME?</v>
      </c>
    </row>
    <row r="113" spans="1:10" x14ac:dyDescent="0.25">
      <c r="A113" s="69" t="s">
        <v>784</v>
      </c>
      <c r="B113" s="70" t="s">
        <v>783</v>
      </c>
      <c r="C113" s="67">
        <f>Таблица14[[#This Row],[5]]+Таблица14[[#This Row],[4]]+Таблица14[[#This Row],[6]]+Таблица14[[#This Row],[7]]</f>
        <v>1.901</v>
      </c>
      <c r="D113" s="67">
        <v>1.901</v>
      </c>
      <c r="E113" s="67"/>
      <c r="F113" s="67"/>
      <c r="G113" s="71"/>
      <c r="H113" s="67"/>
      <c r="I113" s="119">
        <f>169+104</f>
        <v>273</v>
      </c>
      <c r="J113" s="67"/>
    </row>
    <row r="114" spans="1:10" x14ac:dyDescent="0.25">
      <c r="A114" s="130" t="s">
        <v>788</v>
      </c>
      <c r="B114" s="70" t="s">
        <v>789</v>
      </c>
      <c r="C114" s="67">
        <f>Таблица14[[#This Row],[5]]+Таблица14[[#This Row],[4]]+Таблица14[[#This Row],[6]]+Таблица14[[#This Row],[7]]</f>
        <v>0.43</v>
      </c>
      <c r="D114" s="67"/>
      <c r="E114" s="67"/>
      <c r="F114" s="67">
        <v>0.43</v>
      </c>
      <c r="G114" s="71"/>
      <c r="H114" s="67"/>
      <c r="I114" s="119">
        <f>169+104</f>
        <v>273</v>
      </c>
      <c r="J114" s="67"/>
    </row>
    <row r="115" spans="1:10" x14ac:dyDescent="0.25">
      <c r="A115" s="73" t="s">
        <v>562</v>
      </c>
      <c r="B115" s="134"/>
      <c r="C115" s="136">
        <f>SUBTOTAL(109,Таблица14[3])</f>
        <v>232.34399999999999</v>
      </c>
      <c r="D115" s="136">
        <f>SUBTOTAL(109,Таблица14[5])</f>
        <v>157.32600000000002</v>
      </c>
      <c r="E115" s="136">
        <f>SUBTOTAL(109,Таблица14[4])</f>
        <v>27.932999999999996</v>
      </c>
      <c r="F115" s="136">
        <f>SUBTOTAL(109,Таблица14[6])</f>
        <v>43.085000000000008</v>
      </c>
      <c r="G115" s="135">
        <f>SUBTOTAL(109,Таблица14[7])</f>
        <v>4</v>
      </c>
      <c r="H115" s="136"/>
      <c r="I115" s="136"/>
      <c r="J115" s="136"/>
    </row>
    <row r="116" spans="1:10" x14ac:dyDescent="0.25">
      <c r="C116" s="75">
        <f>Таблица3[[#Totals],[3]]</f>
        <v>253.45199999999986</v>
      </c>
      <c r="D116" s="75">
        <f>Таблица3[[#Totals],[5]]</f>
        <v>157.96799999999996</v>
      </c>
      <c r="E116" s="75">
        <f>Таблица3[[#Totals],[4]]</f>
        <v>40.290000000000006</v>
      </c>
      <c r="F116" s="75">
        <f>Таблица3[[#Totals],[6]]</f>
        <v>52.974000000000011</v>
      </c>
      <c r="G116" s="75">
        <f>Таблица3[[#Totals],[7]]</f>
        <v>2.2199999999999998</v>
      </c>
    </row>
    <row r="117" spans="1:10" x14ac:dyDescent="0.25">
      <c r="C117" s="59">
        <f>SUM(C115:C116)</f>
        <v>485.79599999999982</v>
      </c>
      <c r="D117" s="59">
        <f t="shared" ref="D117:G117" si="4">SUM(D115:D116)</f>
        <v>315.29399999999998</v>
      </c>
      <c r="E117" s="59">
        <f t="shared" si="4"/>
        <v>68.222999999999999</v>
      </c>
      <c r="F117" s="59">
        <f t="shared" si="4"/>
        <v>96.059000000000026</v>
      </c>
      <c r="G117" s="59">
        <f t="shared" si="4"/>
        <v>6.22</v>
      </c>
    </row>
    <row r="118" spans="1:10" x14ac:dyDescent="0.25">
      <c r="E118" s="59">
        <f>SUM(E117:G117)</f>
        <v>170.50200000000004</v>
      </c>
    </row>
    <row r="119" spans="1:10" x14ac:dyDescent="0.25">
      <c r="D119" s="59">
        <v>315.29399999999998</v>
      </c>
      <c r="E119" s="59">
        <v>68.223000000000027</v>
      </c>
      <c r="F119" s="59">
        <v>96.058999999999997</v>
      </c>
      <c r="G119" s="59">
        <v>6.2200000000000006</v>
      </c>
    </row>
  </sheetData>
  <mergeCells count="3">
    <mergeCell ref="B5:C5"/>
    <mergeCell ref="A6:A7"/>
    <mergeCell ref="B6:B7"/>
  </mergeCells>
  <conditionalFormatting sqref="B117:C1048576 B6:C6 C7 B116 D117:G117 B8:C114">
    <cfRule type="uniqueValues" priority="1"/>
  </conditionalFormatting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E0694-8C19-4F65-8796-37087A37F2B6}">
  <sheetPr>
    <pageSetUpPr fitToPage="1"/>
  </sheetPr>
  <dimension ref="A1:I174"/>
  <sheetViews>
    <sheetView view="pageBreakPreview" topLeftCell="A160" zoomScale="60" zoomScaleNormal="100" workbookViewId="0">
      <selection activeCell="D114" sqref="D114:D124"/>
    </sheetView>
  </sheetViews>
  <sheetFormatPr defaultRowHeight="15" x14ac:dyDescent="0.25"/>
  <cols>
    <col min="1" max="1" width="19.42578125" customWidth="1"/>
    <col min="2" max="2" width="75.7109375" customWidth="1"/>
    <col min="3" max="3" width="28.42578125" bestFit="1" customWidth="1"/>
    <col min="4" max="4" width="13.85546875" customWidth="1"/>
    <col min="5" max="5" width="12.5703125" customWidth="1"/>
    <col min="6" max="6" width="9.5703125" customWidth="1"/>
    <col min="7" max="7" width="13.85546875" customWidth="1"/>
    <col min="8" max="8" width="11.5703125" customWidth="1"/>
    <col min="11" max="11" width="9.140625" customWidth="1"/>
  </cols>
  <sheetData>
    <row r="1" spans="1:9" s="58" customFormat="1" ht="66" customHeight="1" x14ac:dyDescent="0.25">
      <c r="A1" s="62" t="s">
        <v>748</v>
      </c>
      <c r="B1" s="379" t="s">
        <v>749</v>
      </c>
      <c r="C1" s="380"/>
      <c r="D1" s="380"/>
      <c r="E1" s="59"/>
      <c r="F1" s="59"/>
      <c r="G1" s="59"/>
      <c r="H1" s="59"/>
    </row>
    <row r="2" spans="1:9" ht="46.5" x14ac:dyDescent="0.25">
      <c r="A2" s="385" t="s">
        <v>1</v>
      </c>
      <c r="B2" s="383" t="s">
        <v>2</v>
      </c>
      <c r="C2" s="74"/>
      <c r="D2" s="151" t="s">
        <v>690</v>
      </c>
      <c r="E2" s="152" t="s">
        <v>691</v>
      </c>
      <c r="F2" s="153"/>
      <c r="G2" s="153"/>
      <c r="H2" s="153"/>
    </row>
    <row r="3" spans="1:9" ht="23.25" x14ac:dyDescent="0.25">
      <c r="A3" s="386"/>
      <c r="B3" s="387"/>
      <c r="C3" s="76"/>
      <c r="D3" s="154" t="s">
        <v>692</v>
      </c>
      <c r="E3" s="151" t="s">
        <v>693</v>
      </c>
      <c r="F3" s="151" t="s">
        <v>694</v>
      </c>
      <c r="G3" s="151" t="s">
        <v>695</v>
      </c>
      <c r="H3" s="151" t="s">
        <v>696</v>
      </c>
    </row>
    <row r="4" spans="1:9" x14ac:dyDescent="0.25">
      <c r="A4" s="68" t="s">
        <v>697</v>
      </c>
      <c r="B4" s="66" t="s">
        <v>698</v>
      </c>
      <c r="C4" s="66" t="s">
        <v>781</v>
      </c>
      <c r="D4" s="66" t="s">
        <v>699</v>
      </c>
      <c r="E4" s="67" t="s">
        <v>700</v>
      </c>
      <c r="F4" s="67" t="s">
        <v>701</v>
      </c>
      <c r="G4" s="67" t="s">
        <v>702</v>
      </c>
      <c r="H4" s="71" t="s">
        <v>703</v>
      </c>
      <c r="I4" s="66" t="s">
        <v>785</v>
      </c>
    </row>
    <row r="5" spans="1:9" ht="46.5" x14ac:dyDescent="0.25">
      <c r="A5" s="144" t="s">
        <v>205</v>
      </c>
      <c r="B5" s="144" t="s">
        <v>206</v>
      </c>
      <c r="C5" s="144" t="s">
        <v>538</v>
      </c>
      <c r="D5" s="144">
        <f>Таблица3[[#This Row],[5]]+Таблица3[[#This Row],[4]]+Таблица3[[#This Row],[6]]+Таблица3[[#This Row],[7]]</f>
        <v>4</v>
      </c>
      <c r="E5" s="137"/>
      <c r="F5" s="138"/>
      <c r="G5" s="139">
        <v>4</v>
      </c>
      <c r="H5" s="140"/>
      <c r="I5" s="145">
        <v>1</v>
      </c>
    </row>
    <row r="6" spans="1:9" ht="46.5" x14ac:dyDescent="0.25">
      <c r="A6" s="144" t="s">
        <v>207</v>
      </c>
      <c r="B6" s="144" t="s">
        <v>208</v>
      </c>
      <c r="C6" s="144" t="s">
        <v>538</v>
      </c>
      <c r="D6" s="144">
        <f>Таблица3[[#This Row],[5]]+Таблица3[[#This Row],[4]]+Таблица3[[#This Row],[6]]+Таблица3[[#This Row],[7]]</f>
        <v>4</v>
      </c>
      <c r="E6" s="137">
        <v>4</v>
      </c>
      <c r="F6" s="138"/>
      <c r="G6" s="139"/>
      <c r="H6" s="140"/>
      <c r="I6" s="145">
        <v>2</v>
      </c>
    </row>
    <row r="7" spans="1:9" ht="46.5" x14ac:dyDescent="0.25">
      <c r="A7" s="144" t="s">
        <v>209</v>
      </c>
      <c r="B7" s="144" t="s">
        <v>210</v>
      </c>
      <c r="C7" s="144" t="s">
        <v>538</v>
      </c>
      <c r="D7" s="144">
        <f>Таблица3[[#This Row],[5]]+Таблица3[[#This Row],[4]]+Таблица3[[#This Row],[6]]+Таблица3[[#This Row],[7]]</f>
        <v>3.7</v>
      </c>
      <c r="E7" s="137">
        <v>3.7</v>
      </c>
      <c r="F7" s="138"/>
      <c r="G7" s="139"/>
      <c r="H7" s="140"/>
      <c r="I7" s="145">
        <v>3</v>
      </c>
    </row>
    <row r="8" spans="1:9" ht="46.5" x14ac:dyDescent="0.25">
      <c r="A8" s="144" t="s">
        <v>211</v>
      </c>
      <c r="B8" s="144" t="s">
        <v>212</v>
      </c>
      <c r="C8" s="144" t="s">
        <v>538</v>
      </c>
      <c r="D8" s="144">
        <f>Таблица3[[#This Row],[5]]+Таблица3[[#This Row],[4]]+Таблица3[[#This Row],[6]]+Таблица3[[#This Row],[7]]</f>
        <v>2.5</v>
      </c>
      <c r="E8" s="137">
        <v>1</v>
      </c>
      <c r="F8" s="138"/>
      <c r="G8" s="139">
        <v>1.5</v>
      </c>
      <c r="H8" s="140"/>
      <c r="I8" s="145">
        <v>4</v>
      </c>
    </row>
    <row r="9" spans="1:9" ht="69.75" x14ac:dyDescent="0.25">
      <c r="A9" s="144" t="s">
        <v>213</v>
      </c>
      <c r="B9" s="144" t="s">
        <v>214</v>
      </c>
      <c r="C9" s="144" t="s">
        <v>538</v>
      </c>
      <c r="D9" s="144">
        <f>Таблица3[[#This Row],[5]]+Таблица3[[#This Row],[4]]+Таблица3[[#This Row],[6]]+Таблица3[[#This Row],[7]]</f>
        <v>1.3</v>
      </c>
      <c r="E9" s="137">
        <v>1.3</v>
      </c>
      <c r="F9" s="138"/>
      <c r="G9" s="139"/>
      <c r="H9" s="140"/>
      <c r="I9" s="145">
        <v>5</v>
      </c>
    </row>
    <row r="10" spans="1:9" ht="69.75" x14ac:dyDescent="0.25">
      <c r="A10" s="144" t="s">
        <v>215</v>
      </c>
      <c r="B10" s="144" t="s">
        <v>216</v>
      </c>
      <c r="C10" s="144" t="s">
        <v>538</v>
      </c>
      <c r="D10" s="144">
        <f>Таблица3[[#This Row],[5]]+Таблица3[[#This Row],[4]]+Таблица3[[#This Row],[6]]+Таблица3[[#This Row],[7]]</f>
        <v>3.5</v>
      </c>
      <c r="E10" s="137">
        <v>2.8</v>
      </c>
      <c r="F10" s="138"/>
      <c r="G10" s="139">
        <v>0.7</v>
      </c>
      <c r="H10" s="140"/>
      <c r="I10" s="145">
        <v>6</v>
      </c>
    </row>
    <row r="11" spans="1:9" ht="69.75" x14ac:dyDescent="0.25">
      <c r="A11" s="144" t="s">
        <v>217</v>
      </c>
      <c r="B11" s="144" t="s">
        <v>218</v>
      </c>
      <c r="C11" s="144" t="s">
        <v>538</v>
      </c>
      <c r="D11" s="144">
        <f>Таблица3[[#This Row],[5]]+Таблица3[[#This Row],[4]]+Таблица3[[#This Row],[6]]+Таблица3[[#This Row],[7]]</f>
        <v>1.8</v>
      </c>
      <c r="E11" s="137">
        <v>1.8</v>
      </c>
      <c r="F11" s="138"/>
      <c r="G11" s="139"/>
      <c r="H11" s="140"/>
      <c r="I11" s="145">
        <v>7</v>
      </c>
    </row>
    <row r="12" spans="1:9" ht="69.75" x14ac:dyDescent="0.25">
      <c r="A12" s="144" t="s">
        <v>219</v>
      </c>
      <c r="B12" s="144" t="s">
        <v>220</v>
      </c>
      <c r="C12" s="144" t="s">
        <v>538</v>
      </c>
      <c r="D12" s="144">
        <f>Таблица3[[#This Row],[5]]+Таблица3[[#This Row],[4]]+Таблица3[[#This Row],[6]]+Таблица3[[#This Row],[7]]</f>
        <v>0.7</v>
      </c>
      <c r="E12" s="137">
        <v>0.7</v>
      </c>
      <c r="F12" s="138"/>
      <c r="G12" s="139"/>
      <c r="H12" s="140"/>
      <c r="I12" s="145">
        <v>8</v>
      </c>
    </row>
    <row r="13" spans="1:9" ht="69.75" x14ac:dyDescent="0.25">
      <c r="A13" s="144" t="s">
        <v>221</v>
      </c>
      <c r="B13" s="144" t="s">
        <v>222</v>
      </c>
      <c r="C13" s="144" t="s">
        <v>538</v>
      </c>
      <c r="D13" s="144">
        <f>Таблица3[[#This Row],[5]]+Таблица3[[#This Row],[4]]+Таблица3[[#This Row],[6]]+Таблица3[[#This Row],[7]]</f>
        <v>1.5</v>
      </c>
      <c r="E13" s="137">
        <v>1.5</v>
      </c>
      <c r="F13" s="138"/>
      <c r="G13" s="139"/>
      <c r="H13" s="140"/>
      <c r="I13" s="145">
        <v>9</v>
      </c>
    </row>
    <row r="14" spans="1:9" ht="69.75" x14ac:dyDescent="0.25">
      <c r="A14" s="144" t="s">
        <v>223</v>
      </c>
      <c r="B14" s="144" t="s">
        <v>224</v>
      </c>
      <c r="C14" s="144" t="s">
        <v>538</v>
      </c>
      <c r="D14" s="144">
        <f>Таблица3[[#This Row],[5]]+Таблица3[[#This Row],[4]]+Таблица3[[#This Row],[6]]+Таблица3[[#This Row],[7]]</f>
        <v>1</v>
      </c>
      <c r="E14" s="137">
        <v>1</v>
      </c>
      <c r="F14" s="138"/>
      <c r="G14" s="139"/>
      <c r="H14" s="140"/>
      <c r="I14" s="145">
        <v>10</v>
      </c>
    </row>
    <row r="15" spans="1:9" ht="46.5" x14ac:dyDescent="0.25">
      <c r="A15" s="144" t="s">
        <v>225</v>
      </c>
      <c r="B15" s="144" t="s">
        <v>226</v>
      </c>
      <c r="C15" s="144" t="s">
        <v>537</v>
      </c>
      <c r="D15" s="144">
        <f>Таблица3[[#This Row],[5]]+Таблица3[[#This Row],[4]]+Таблица3[[#This Row],[6]]+Таблица3[[#This Row],[7]]</f>
        <v>5</v>
      </c>
      <c r="E15" s="137">
        <v>3</v>
      </c>
      <c r="F15" s="138">
        <v>1.5</v>
      </c>
      <c r="G15" s="139"/>
      <c r="H15" s="140">
        <v>0.5</v>
      </c>
      <c r="I15" s="145">
        <v>11</v>
      </c>
    </row>
    <row r="16" spans="1:9" ht="46.5" x14ac:dyDescent="0.25">
      <c r="A16" s="144" t="s">
        <v>227</v>
      </c>
      <c r="B16" s="144" t="s">
        <v>228</v>
      </c>
      <c r="C16" s="144" t="s">
        <v>537</v>
      </c>
      <c r="D16" s="144">
        <f>Таблица3[[#This Row],[5]]+Таблица3[[#This Row],[4]]+Таблица3[[#This Row],[6]]+Таблица3[[#This Row],[7]]</f>
        <v>1</v>
      </c>
      <c r="E16" s="137">
        <v>1</v>
      </c>
      <c r="F16" s="138"/>
      <c r="G16" s="139"/>
      <c r="H16" s="140"/>
      <c r="I16" s="145">
        <v>12</v>
      </c>
    </row>
    <row r="17" spans="1:9" ht="46.5" x14ac:dyDescent="0.25">
      <c r="A17" s="144" t="s">
        <v>229</v>
      </c>
      <c r="B17" s="144" t="s">
        <v>230</v>
      </c>
      <c r="C17" s="144" t="s">
        <v>537</v>
      </c>
      <c r="D17" s="144">
        <f>Таблица3[[#This Row],[5]]+Таблица3[[#This Row],[4]]+Таблица3[[#This Row],[6]]+Таблица3[[#This Row],[7]]</f>
        <v>1.1000000000000001</v>
      </c>
      <c r="E17" s="137">
        <v>1.1000000000000001</v>
      </c>
      <c r="F17" s="138"/>
      <c r="G17" s="139"/>
      <c r="H17" s="140"/>
      <c r="I17" s="145">
        <v>13</v>
      </c>
    </row>
    <row r="18" spans="1:9" ht="46.5" x14ac:dyDescent="0.25">
      <c r="A18" s="144" t="s">
        <v>231</v>
      </c>
      <c r="B18" s="144" t="s">
        <v>232</v>
      </c>
      <c r="C18" s="144" t="s">
        <v>539</v>
      </c>
      <c r="D18" s="144">
        <f>Таблица3[[#This Row],[5]]+Таблица3[[#This Row],[4]]+Таблица3[[#This Row],[6]]+Таблица3[[#This Row],[7]]</f>
        <v>1.5</v>
      </c>
      <c r="E18" s="137">
        <v>1</v>
      </c>
      <c r="F18" s="138">
        <v>0.5</v>
      </c>
      <c r="G18" s="139"/>
      <c r="H18" s="140"/>
      <c r="I18" s="145">
        <v>14</v>
      </c>
    </row>
    <row r="19" spans="1:9" ht="46.5" x14ac:dyDescent="0.25">
      <c r="A19" s="144" t="s">
        <v>233</v>
      </c>
      <c r="B19" s="144" t="s">
        <v>234</v>
      </c>
      <c r="C19" s="144" t="s">
        <v>539</v>
      </c>
      <c r="D19" s="144">
        <f>Таблица3[[#This Row],[5]]+Таблица3[[#This Row],[4]]+Таблица3[[#This Row],[6]]+Таблица3[[#This Row],[7]]</f>
        <v>3.0859999999999999</v>
      </c>
      <c r="E19" s="137"/>
      <c r="F19" s="141"/>
      <c r="G19" s="142">
        <v>3.0859999999999999</v>
      </c>
      <c r="H19" s="140"/>
      <c r="I19" s="145">
        <v>15</v>
      </c>
    </row>
    <row r="20" spans="1:9" ht="46.5" x14ac:dyDescent="0.25">
      <c r="A20" s="144" t="s">
        <v>235</v>
      </c>
      <c r="B20" s="144" t="s">
        <v>236</v>
      </c>
      <c r="C20" s="144" t="s">
        <v>539</v>
      </c>
      <c r="D20" s="144">
        <f>Таблица3[[#This Row],[5]]+Таблица3[[#This Row],[4]]+Таблица3[[#This Row],[6]]+Таблица3[[#This Row],[7]]</f>
        <v>0.5</v>
      </c>
      <c r="E20" s="137">
        <v>0.5</v>
      </c>
      <c r="F20" s="138"/>
      <c r="G20" s="139"/>
      <c r="H20" s="140"/>
      <c r="I20" s="145">
        <v>16</v>
      </c>
    </row>
    <row r="21" spans="1:9" ht="46.5" x14ac:dyDescent="0.25">
      <c r="A21" s="144" t="s">
        <v>237</v>
      </c>
      <c r="B21" s="144" t="s">
        <v>238</v>
      </c>
      <c r="C21" s="144" t="s">
        <v>539</v>
      </c>
      <c r="D21" s="144">
        <f>Таблица3[[#This Row],[5]]+Таблица3[[#This Row],[4]]+Таблица3[[#This Row],[6]]+Таблица3[[#This Row],[7]]</f>
        <v>1</v>
      </c>
      <c r="E21" s="137">
        <v>1</v>
      </c>
      <c r="F21" s="138"/>
      <c r="G21" s="139"/>
      <c r="H21" s="140"/>
      <c r="I21" s="145">
        <v>17</v>
      </c>
    </row>
    <row r="22" spans="1:9" ht="46.5" x14ac:dyDescent="0.25">
      <c r="A22" s="144" t="s">
        <v>239</v>
      </c>
      <c r="B22" s="144" t="s">
        <v>240</v>
      </c>
      <c r="C22" s="144" t="s">
        <v>539</v>
      </c>
      <c r="D22" s="144">
        <f>Таблица3[[#This Row],[5]]+Таблица3[[#This Row],[4]]+Таблица3[[#This Row],[6]]+Таблица3[[#This Row],[7]]</f>
        <v>1</v>
      </c>
      <c r="E22" s="137">
        <v>1</v>
      </c>
      <c r="F22" s="138"/>
      <c r="G22" s="139"/>
      <c r="H22" s="140"/>
      <c r="I22" s="145">
        <v>18</v>
      </c>
    </row>
    <row r="23" spans="1:9" ht="46.5" x14ac:dyDescent="0.25">
      <c r="A23" s="144" t="s">
        <v>241</v>
      </c>
      <c r="B23" s="144" t="s">
        <v>242</v>
      </c>
      <c r="C23" s="144" t="s">
        <v>539</v>
      </c>
      <c r="D23" s="144">
        <f>Таблица3[[#This Row],[5]]+Таблица3[[#This Row],[4]]+Таблица3[[#This Row],[6]]+Таблица3[[#This Row],[7]]</f>
        <v>0.8</v>
      </c>
      <c r="E23" s="137">
        <v>0.8</v>
      </c>
      <c r="F23" s="138"/>
      <c r="G23" s="139"/>
      <c r="H23" s="140"/>
      <c r="I23" s="145">
        <v>19</v>
      </c>
    </row>
    <row r="24" spans="1:9" ht="46.5" x14ac:dyDescent="0.25">
      <c r="A24" s="144" t="s">
        <v>243</v>
      </c>
      <c r="B24" s="144" t="s">
        <v>244</v>
      </c>
      <c r="C24" s="144" t="s">
        <v>539</v>
      </c>
      <c r="D24" s="144">
        <f>Таблица3[[#This Row],[5]]+Таблица3[[#This Row],[4]]+Таблица3[[#This Row],[6]]+Таблица3[[#This Row],[7]]</f>
        <v>1</v>
      </c>
      <c r="E24" s="137">
        <v>0.2</v>
      </c>
      <c r="F24" s="138">
        <v>0.8</v>
      </c>
      <c r="G24" s="139"/>
      <c r="H24" s="140"/>
      <c r="I24" s="145">
        <v>20</v>
      </c>
    </row>
    <row r="25" spans="1:9" ht="46.5" x14ac:dyDescent="0.25">
      <c r="A25" s="144" t="s">
        <v>245</v>
      </c>
      <c r="B25" s="144" t="s">
        <v>246</v>
      </c>
      <c r="C25" s="144" t="s">
        <v>539</v>
      </c>
      <c r="D25" s="144">
        <f>Таблица3[[#This Row],[5]]+Таблица3[[#This Row],[4]]+Таблица3[[#This Row],[6]]+Таблица3[[#This Row],[7]]</f>
        <v>1.5</v>
      </c>
      <c r="E25" s="137">
        <v>1</v>
      </c>
      <c r="F25" s="138"/>
      <c r="G25" s="139">
        <v>0.5</v>
      </c>
      <c r="H25" s="140"/>
      <c r="I25" s="145">
        <v>21</v>
      </c>
    </row>
    <row r="26" spans="1:9" ht="46.5" x14ac:dyDescent="0.25">
      <c r="A26" s="144" t="s">
        <v>247</v>
      </c>
      <c r="B26" s="144" t="s">
        <v>248</v>
      </c>
      <c r="C26" s="144" t="s">
        <v>539</v>
      </c>
      <c r="D26" s="144">
        <f>Таблица3[[#This Row],[5]]+Таблица3[[#This Row],[4]]+Таблица3[[#This Row],[6]]+Таблица3[[#This Row],[7]]</f>
        <v>0.8</v>
      </c>
      <c r="E26" s="137">
        <v>0.8</v>
      </c>
      <c r="F26" s="138"/>
      <c r="G26" s="139"/>
      <c r="H26" s="140"/>
      <c r="I26" s="145">
        <v>22</v>
      </c>
    </row>
    <row r="27" spans="1:9" ht="46.5" x14ac:dyDescent="0.25">
      <c r="A27" s="144" t="s">
        <v>249</v>
      </c>
      <c r="B27" s="144" t="s">
        <v>250</v>
      </c>
      <c r="C27" s="144" t="s">
        <v>539</v>
      </c>
      <c r="D27" s="144">
        <f>Таблица3[[#This Row],[5]]+Таблица3[[#This Row],[4]]+Таблица3[[#This Row],[6]]+Таблица3[[#This Row],[7]]</f>
        <v>1</v>
      </c>
      <c r="E27" s="137">
        <v>0.7</v>
      </c>
      <c r="F27" s="138">
        <v>0.3</v>
      </c>
      <c r="G27" s="139"/>
      <c r="H27" s="140"/>
      <c r="I27" s="145">
        <v>23</v>
      </c>
    </row>
    <row r="28" spans="1:9" ht="46.5" x14ac:dyDescent="0.25">
      <c r="A28" s="144" t="s">
        <v>251</v>
      </c>
      <c r="B28" s="144" t="s">
        <v>252</v>
      </c>
      <c r="C28" s="144" t="s">
        <v>539</v>
      </c>
      <c r="D28" s="144">
        <f>Таблица3[[#This Row],[5]]+Таблица3[[#This Row],[4]]+Таблица3[[#This Row],[6]]+Таблица3[[#This Row],[7]]</f>
        <v>0.8</v>
      </c>
      <c r="E28" s="137">
        <v>0.8</v>
      </c>
      <c r="F28" s="138"/>
      <c r="G28" s="139"/>
      <c r="H28" s="140"/>
      <c r="I28" s="145">
        <v>24</v>
      </c>
    </row>
    <row r="29" spans="1:9" ht="46.5" x14ac:dyDescent="0.25">
      <c r="A29" s="144" t="s">
        <v>253</v>
      </c>
      <c r="B29" s="144" t="s">
        <v>254</v>
      </c>
      <c r="C29" s="144" t="s">
        <v>539</v>
      </c>
      <c r="D29" s="144">
        <f>Таблица3[[#This Row],[5]]+Таблица3[[#This Row],[4]]+Таблица3[[#This Row],[6]]+Таблица3[[#This Row],[7]]</f>
        <v>1.5</v>
      </c>
      <c r="E29" s="137">
        <v>1.5</v>
      </c>
      <c r="F29" s="138"/>
      <c r="G29" s="139"/>
      <c r="H29" s="140"/>
      <c r="I29" s="145">
        <v>25</v>
      </c>
    </row>
    <row r="30" spans="1:9" ht="46.5" x14ac:dyDescent="0.25">
      <c r="A30" s="144" t="s">
        <v>255</v>
      </c>
      <c r="B30" s="144" t="s">
        <v>256</v>
      </c>
      <c r="C30" s="144" t="s">
        <v>539</v>
      </c>
      <c r="D30" s="144">
        <f>Таблица3[[#This Row],[5]]+Таблица3[[#This Row],[4]]+Таблица3[[#This Row],[6]]+Таблица3[[#This Row],[7]]</f>
        <v>0.8</v>
      </c>
      <c r="E30" s="137">
        <v>0.8</v>
      </c>
      <c r="F30" s="138"/>
      <c r="G30" s="139"/>
      <c r="H30" s="140"/>
      <c r="I30" s="145">
        <v>26</v>
      </c>
    </row>
    <row r="31" spans="1:9" ht="46.5" x14ac:dyDescent="0.25">
      <c r="A31" s="144" t="s">
        <v>257</v>
      </c>
      <c r="B31" s="144" t="s">
        <v>258</v>
      </c>
      <c r="C31" s="144" t="s">
        <v>539</v>
      </c>
      <c r="D31" s="144">
        <f>Таблица3[[#This Row],[5]]+Таблица3[[#This Row],[4]]+Таблица3[[#This Row],[6]]+Таблица3[[#This Row],[7]]</f>
        <v>0.5</v>
      </c>
      <c r="E31" s="137">
        <v>0.5</v>
      </c>
      <c r="F31" s="138"/>
      <c r="G31" s="139"/>
      <c r="H31" s="140"/>
      <c r="I31" s="145">
        <v>27</v>
      </c>
    </row>
    <row r="32" spans="1:9" ht="46.5" x14ac:dyDescent="0.25">
      <c r="A32" s="144" t="s">
        <v>259</v>
      </c>
      <c r="B32" s="144" t="s">
        <v>260</v>
      </c>
      <c r="C32" s="144" t="s">
        <v>539</v>
      </c>
      <c r="D32" s="144">
        <f>Таблица3[[#This Row],[5]]+Таблица3[[#This Row],[4]]+Таблица3[[#This Row],[6]]+Таблица3[[#This Row],[7]]</f>
        <v>0.5</v>
      </c>
      <c r="E32" s="137">
        <v>0.5</v>
      </c>
      <c r="F32" s="138"/>
      <c r="G32" s="139"/>
      <c r="H32" s="140"/>
      <c r="I32" s="145">
        <v>28</v>
      </c>
    </row>
    <row r="33" spans="1:9" ht="46.5" x14ac:dyDescent="0.25">
      <c r="A33" s="144" t="s">
        <v>261</v>
      </c>
      <c r="B33" s="144" t="s">
        <v>560</v>
      </c>
      <c r="C33" s="144" t="s">
        <v>539</v>
      </c>
      <c r="D33" s="144">
        <f>Таблица3[[#This Row],[5]]+Таблица3[[#This Row],[4]]+Таблица3[[#This Row],[6]]+Таблица3[[#This Row],[7]]</f>
        <v>0.5</v>
      </c>
      <c r="E33" s="137">
        <v>0.5</v>
      </c>
      <c r="F33" s="138"/>
      <c r="G33" s="139"/>
      <c r="H33" s="140"/>
      <c r="I33" s="145">
        <v>29</v>
      </c>
    </row>
    <row r="34" spans="1:9" ht="46.5" x14ac:dyDescent="0.25">
      <c r="A34" s="144" t="s">
        <v>262</v>
      </c>
      <c r="B34" s="144" t="s">
        <v>263</v>
      </c>
      <c r="C34" s="144" t="s">
        <v>539</v>
      </c>
      <c r="D34" s="144">
        <f>Таблица3[[#This Row],[5]]+Таблица3[[#This Row],[4]]+Таблица3[[#This Row],[6]]+Таблица3[[#This Row],[7]]</f>
        <v>0.5</v>
      </c>
      <c r="E34" s="137">
        <v>0.5</v>
      </c>
      <c r="F34" s="138"/>
      <c r="G34" s="139"/>
      <c r="H34" s="140"/>
      <c r="I34" s="145">
        <v>30</v>
      </c>
    </row>
    <row r="35" spans="1:9" ht="46.5" x14ac:dyDescent="0.25">
      <c r="A35" s="144" t="s">
        <v>264</v>
      </c>
      <c r="B35" s="144" t="s">
        <v>265</v>
      </c>
      <c r="C35" s="144" t="s">
        <v>539</v>
      </c>
      <c r="D35" s="144">
        <f>Таблица3[[#This Row],[5]]+Таблица3[[#This Row],[4]]+Таблица3[[#This Row],[6]]+Таблица3[[#This Row],[7]]</f>
        <v>0.5</v>
      </c>
      <c r="E35" s="137">
        <v>0.5</v>
      </c>
      <c r="F35" s="138"/>
      <c r="G35" s="139"/>
      <c r="H35" s="140"/>
      <c r="I35" s="145">
        <v>31</v>
      </c>
    </row>
    <row r="36" spans="1:9" ht="46.5" x14ac:dyDescent="0.25">
      <c r="A36" s="144" t="s">
        <v>266</v>
      </c>
      <c r="B36" s="144" t="s">
        <v>267</v>
      </c>
      <c r="C36" s="144" t="s">
        <v>540</v>
      </c>
      <c r="D36" s="144">
        <f>Таблица3[[#This Row],[5]]+Таблица3[[#This Row],[4]]+Таблица3[[#This Row],[6]]+Таблица3[[#This Row],[7]]</f>
        <v>3.3</v>
      </c>
      <c r="E36" s="137"/>
      <c r="F36" s="138">
        <v>3</v>
      </c>
      <c r="G36" s="139">
        <v>0.3</v>
      </c>
      <c r="H36" s="140"/>
      <c r="I36" s="145">
        <v>32</v>
      </c>
    </row>
    <row r="37" spans="1:9" ht="46.5" x14ac:dyDescent="0.25">
      <c r="A37" s="144" t="s">
        <v>268</v>
      </c>
      <c r="B37" s="144" t="s">
        <v>269</v>
      </c>
      <c r="C37" s="144" t="s">
        <v>540</v>
      </c>
      <c r="D37" s="144">
        <f>Таблица3[[#This Row],[5]]+Таблица3[[#This Row],[4]]+Таблица3[[#This Row],[6]]+Таблица3[[#This Row],[7]]</f>
        <v>1</v>
      </c>
      <c r="E37" s="137">
        <v>1</v>
      </c>
      <c r="F37" s="138"/>
      <c r="G37" s="139"/>
      <c r="H37" s="140"/>
      <c r="I37" s="145">
        <v>33</v>
      </c>
    </row>
    <row r="38" spans="1:9" ht="46.5" x14ac:dyDescent="0.25">
      <c r="A38" s="144" t="s">
        <v>270</v>
      </c>
      <c r="B38" s="144" t="s">
        <v>271</v>
      </c>
      <c r="C38" s="144" t="s">
        <v>540</v>
      </c>
      <c r="D38" s="144">
        <f>Таблица3[[#This Row],[5]]+Таблица3[[#This Row],[4]]+Таблица3[[#This Row],[6]]+Таблица3[[#This Row],[7]]</f>
        <v>1.1000000000000001</v>
      </c>
      <c r="E38" s="137">
        <v>1.1000000000000001</v>
      </c>
      <c r="F38" s="138"/>
      <c r="G38" s="139"/>
      <c r="H38" s="140"/>
      <c r="I38" s="145">
        <v>34</v>
      </c>
    </row>
    <row r="39" spans="1:9" ht="46.5" x14ac:dyDescent="0.25">
      <c r="A39" s="144" t="s">
        <v>272</v>
      </c>
      <c r="B39" s="144" t="s">
        <v>273</v>
      </c>
      <c r="C39" s="144" t="s">
        <v>540</v>
      </c>
      <c r="D39" s="144">
        <f>Таблица3[[#This Row],[5]]+Таблица3[[#This Row],[4]]+Таблица3[[#This Row],[6]]+Таблица3[[#This Row],[7]]</f>
        <v>2.2000000000000002</v>
      </c>
      <c r="E39" s="137">
        <v>1.2</v>
      </c>
      <c r="F39" s="138">
        <v>1</v>
      </c>
      <c r="G39" s="139"/>
      <c r="H39" s="140"/>
      <c r="I39" s="145">
        <v>35</v>
      </c>
    </row>
    <row r="40" spans="1:9" ht="46.5" x14ac:dyDescent="0.25">
      <c r="A40" s="144" t="s">
        <v>274</v>
      </c>
      <c r="B40" s="144" t="s">
        <v>275</v>
      </c>
      <c r="C40" s="144" t="s">
        <v>540</v>
      </c>
      <c r="D40" s="144">
        <f>Таблица3[[#This Row],[5]]+Таблица3[[#This Row],[4]]+Таблица3[[#This Row],[6]]+Таблица3[[#This Row],[7]]</f>
        <v>1.7</v>
      </c>
      <c r="E40" s="137">
        <v>1</v>
      </c>
      <c r="F40" s="138">
        <v>0.7</v>
      </c>
      <c r="G40" s="139"/>
      <c r="H40" s="140"/>
      <c r="I40" s="145">
        <v>36</v>
      </c>
    </row>
    <row r="41" spans="1:9" ht="46.5" x14ac:dyDescent="0.25">
      <c r="A41" s="144" t="s">
        <v>276</v>
      </c>
      <c r="B41" s="144" t="s">
        <v>277</v>
      </c>
      <c r="C41" s="144" t="s">
        <v>540</v>
      </c>
      <c r="D41" s="144">
        <f>Таблица3[[#This Row],[5]]+Таблица3[[#This Row],[4]]+Таблица3[[#This Row],[6]]+Таблица3[[#This Row],[7]]</f>
        <v>1.7</v>
      </c>
      <c r="E41" s="137">
        <v>1.7</v>
      </c>
      <c r="F41" s="138"/>
      <c r="G41" s="139"/>
      <c r="H41" s="140"/>
      <c r="I41" s="145">
        <v>37</v>
      </c>
    </row>
    <row r="42" spans="1:9" ht="46.5" x14ac:dyDescent="0.25">
      <c r="A42" s="144" t="s">
        <v>278</v>
      </c>
      <c r="B42" s="144" t="s">
        <v>279</v>
      </c>
      <c r="C42" s="144" t="s">
        <v>540</v>
      </c>
      <c r="D42" s="144">
        <f>Таблица3[[#This Row],[5]]+Таблица3[[#This Row],[4]]+Таблица3[[#This Row],[6]]+Таблица3[[#This Row],[7]]</f>
        <v>1.4</v>
      </c>
      <c r="E42" s="137">
        <v>1.4</v>
      </c>
      <c r="F42" s="138"/>
      <c r="G42" s="139"/>
      <c r="H42" s="140"/>
      <c r="I42" s="145">
        <v>38</v>
      </c>
    </row>
    <row r="43" spans="1:9" ht="46.5" x14ac:dyDescent="0.25">
      <c r="A43" s="144" t="s">
        <v>280</v>
      </c>
      <c r="B43" s="144" t="s">
        <v>281</v>
      </c>
      <c r="C43" s="144" t="s">
        <v>571</v>
      </c>
      <c r="D43" s="144">
        <f>Таблица3[[#This Row],[5]]+Таблица3[[#This Row],[4]]+Таблица3[[#This Row],[6]]+Таблица3[[#This Row],[7]]</f>
        <v>6.1000000000000005</v>
      </c>
      <c r="E43" s="137">
        <v>4.2</v>
      </c>
      <c r="F43" s="138">
        <v>0.4</v>
      </c>
      <c r="G43" s="139">
        <v>0.6</v>
      </c>
      <c r="H43" s="140">
        <v>0.9</v>
      </c>
      <c r="I43" s="145">
        <v>39</v>
      </c>
    </row>
    <row r="44" spans="1:9" ht="46.5" x14ac:dyDescent="0.25">
      <c r="A44" s="144" t="s">
        <v>282</v>
      </c>
      <c r="B44" s="144" t="s">
        <v>283</v>
      </c>
      <c r="C44" s="144" t="s">
        <v>571</v>
      </c>
      <c r="D44" s="144">
        <f>Таблица3[[#This Row],[5]]+Таблица3[[#This Row],[4]]+Таблица3[[#This Row],[6]]+Таблица3[[#This Row],[7]]</f>
        <v>1.5</v>
      </c>
      <c r="E44" s="137">
        <v>1.5</v>
      </c>
      <c r="F44" s="138"/>
      <c r="G44" s="139"/>
      <c r="H44" s="140"/>
      <c r="I44" s="145">
        <v>40</v>
      </c>
    </row>
    <row r="45" spans="1:9" ht="46.5" x14ac:dyDescent="0.25">
      <c r="A45" s="144" t="s">
        <v>284</v>
      </c>
      <c r="B45" s="144" t="s">
        <v>285</v>
      </c>
      <c r="C45" s="144" t="s">
        <v>571</v>
      </c>
      <c r="D45" s="144">
        <f>Таблица3[[#This Row],[5]]+Таблица3[[#This Row],[4]]+Таблица3[[#This Row],[6]]+Таблица3[[#This Row],[7]]</f>
        <v>1</v>
      </c>
      <c r="E45" s="137">
        <v>1</v>
      </c>
      <c r="F45" s="138"/>
      <c r="G45" s="139"/>
      <c r="H45" s="140"/>
      <c r="I45" s="145">
        <v>41</v>
      </c>
    </row>
    <row r="46" spans="1:9" ht="46.5" x14ac:dyDescent="0.25">
      <c r="A46" s="144" t="s">
        <v>286</v>
      </c>
      <c r="B46" s="144" t="s">
        <v>287</v>
      </c>
      <c r="C46" s="144" t="s">
        <v>571</v>
      </c>
      <c r="D46" s="144">
        <f>Таблица3[[#This Row],[5]]+Таблица3[[#This Row],[4]]+Таблица3[[#This Row],[6]]+Таблица3[[#This Row],[7]]</f>
        <v>0.8</v>
      </c>
      <c r="E46" s="137">
        <v>0.8</v>
      </c>
      <c r="F46" s="138"/>
      <c r="G46" s="139"/>
      <c r="H46" s="140"/>
      <c r="I46" s="145">
        <v>42</v>
      </c>
    </row>
    <row r="47" spans="1:9" ht="46.5" x14ac:dyDescent="0.25">
      <c r="A47" s="144" t="s">
        <v>288</v>
      </c>
      <c r="B47" s="144" t="s">
        <v>289</v>
      </c>
      <c r="C47" s="144" t="s">
        <v>571</v>
      </c>
      <c r="D47" s="144">
        <f>Таблица3[[#This Row],[5]]+Таблица3[[#This Row],[4]]+Таблица3[[#This Row],[6]]+Таблица3[[#This Row],[7]]</f>
        <v>0.5</v>
      </c>
      <c r="E47" s="137">
        <v>0.5</v>
      </c>
      <c r="F47" s="138"/>
      <c r="G47" s="139"/>
      <c r="H47" s="140"/>
      <c r="I47" s="145">
        <v>43</v>
      </c>
    </row>
    <row r="48" spans="1:9" ht="46.5" x14ac:dyDescent="0.25">
      <c r="A48" s="144" t="s">
        <v>290</v>
      </c>
      <c r="B48" s="144" t="s">
        <v>291</v>
      </c>
      <c r="C48" s="144" t="s">
        <v>571</v>
      </c>
      <c r="D48" s="144">
        <f>Таблица3[[#This Row],[5]]+Таблица3[[#This Row],[4]]+Таблица3[[#This Row],[6]]+Таблица3[[#This Row],[7]]</f>
        <v>0.7</v>
      </c>
      <c r="E48" s="137">
        <v>0.7</v>
      </c>
      <c r="F48" s="138"/>
      <c r="G48" s="139"/>
      <c r="H48" s="140"/>
      <c r="I48" s="145">
        <v>44</v>
      </c>
    </row>
    <row r="49" spans="1:9" ht="46.5" x14ac:dyDescent="0.25">
      <c r="A49" s="144" t="s">
        <v>292</v>
      </c>
      <c r="B49" s="144" t="s">
        <v>293</v>
      </c>
      <c r="C49" s="144" t="s">
        <v>571</v>
      </c>
      <c r="D49" s="144">
        <f>Таблица3[[#This Row],[5]]+Таблица3[[#This Row],[4]]+Таблица3[[#This Row],[6]]+Таблица3[[#This Row],[7]]</f>
        <v>1</v>
      </c>
      <c r="E49" s="137">
        <v>1</v>
      </c>
      <c r="F49" s="138"/>
      <c r="G49" s="139"/>
      <c r="H49" s="140"/>
      <c r="I49" s="145">
        <v>45</v>
      </c>
    </row>
    <row r="50" spans="1:9" ht="46.5" x14ac:dyDescent="0.25">
      <c r="A50" s="144" t="s">
        <v>294</v>
      </c>
      <c r="B50" s="144" t="s">
        <v>295</v>
      </c>
      <c r="C50" s="144" t="s">
        <v>571</v>
      </c>
      <c r="D50" s="144">
        <f>Таблица3[[#This Row],[5]]+Таблица3[[#This Row],[4]]+Таблица3[[#This Row],[6]]+Таблица3[[#This Row],[7]]</f>
        <v>1.5</v>
      </c>
      <c r="E50" s="137">
        <v>1.5</v>
      </c>
      <c r="F50" s="138"/>
      <c r="G50" s="139"/>
      <c r="H50" s="140"/>
      <c r="I50" s="145">
        <v>46</v>
      </c>
    </row>
    <row r="51" spans="1:9" ht="46.5" x14ac:dyDescent="0.25">
      <c r="A51" s="144" t="s">
        <v>296</v>
      </c>
      <c r="B51" s="144" t="s">
        <v>297</v>
      </c>
      <c r="C51" s="144" t="s">
        <v>571</v>
      </c>
      <c r="D51" s="144">
        <f>Таблица3[[#This Row],[5]]+Таблица3[[#This Row],[4]]+Таблица3[[#This Row],[6]]+Таблица3[[#This Row],[7]]</f>
        <v>0.8</v>
      </c>
      <c r="E51" s="137">
        <v>0.8</v>
      </c>
      <c r="F51" s="138"/>
      <c r="G51" s="139"/>
      <c r="H51" s="140"/>
      <c r="I51" s="145">
        <v>47</v>
      </c>
    </row>
    <row r="52" spans="1:9" ht="46.5" x14ac:dyDescent="0.25">
      <c r="A52" s="144" t="s">
        <v>298</v>
      </c>
      <c r="B52" s="144" t="s">
        <v>299</v>
      </c>
      <c r="C52" s="144" t="s">
        <v>571</v>
      </c>
      <c r="D52" s="144">
        <f>Таблица3[[#This Row],[5]]+Таблица3[[#This Row],[4]]+Таблица3[[#This Row],[6]]+Таблица3[[#This Row],[7]]</f>
        <v>0.5</v>
      </c>
      <c r="E52" s="137">
        <v>0.5</v>
      </c>
      <c r="F52" s="138"/>
      <c r="G52" s="139"/>
      <c r="H52" s="140"/>
      <c r="I52" s="145">
        <v>48</v>
      </c>
    </row>
    <row r="53" spans="1:9" ht="46.5" x14ac:dyDescent="0.25">
      <c r="A53" s="144" t="s">
        <v>300</v>
      </c>
      <c r="B53" s="144" t="s">
        <v>301</v>
      </c>
      <c r="C53" s="144" t="s">
        <v>571</v>
      </c>
      <c r="D53" s="144">
        <f>Таблица3[[#This Row],[5]]+Таблица3[[#This Row],[4]]+Таблица3[[#This Row],[6]]+Таблица3[[#This Row],[7]]</f>
        <v>1.5</v>
      </c>
      <c r="E53" s="137">
        <v>1.5</v>
      </c>
      <c r="F53" s="138"/>
      <c r="G53" s="139"/>
      <c r="H53" s="140"/>
      <c r="I53" s="145">
        <v>49</v>
      </c>
    </row>
    <row r="54" spans="1:9" ht="46.5" x14ac:dyDescent="0.25">
      <c r="A54" s="144" t="s">
        <v>302</v>
      </c>
      <c r="B54" s="144" t="s">
        <v>303</v>
      </c>
      <c r="C54" s="144" t="s">
        <v>571</v>
      </c>
      <c r="D54" s="144">
        <f>Таблица3[[#This Row],[5]]+Таблица3[[#This Row],[4]]+Таблица3[[#This Row],[6]]+Таблица3[[#This Row],[7]]</f>
        <v>0.7</v>
      </c>
      <c r="E54" s="137">
        <v>0.7</v>
      </c>
      <c r="F54" s="138"/>
      <c r="G54" s="139"/>
      <c r="H54" s="140"/>
      <c r="I54" s="145">
        <v>50</v>
      </c>
    </row>
    <row r="55" spans="1:9" ht="46.5" x14ac:dyDescent="0.25">
      <c r="A55" s="144" t="s">
        <v>304</v>
      </c>
      <c r="B55" s="144" t="s">
        <v>305</v>
      </c>
      <c r="C55" s="144" t="s">
        <v>571</v>
      </c>
      <c r="D55" s="144">
        <f>Таблица3[[#This Row],[5]]+Таблица3[[#This Row],[4]]+Таблица3[[#This Row],[6]]+Таблица3[[#This Row],[7]]</f>
        <v>0.5</v>
      </c>
      <c r="E55" s="137">
        <v>0.5</v>
      </c>
      <c r="F55" s="138"/>
      <c r="G55" s="139"/>
      <c r="H55" s="140"/>
      <c r="I55" s="145">
        <v>51</v>
      </c>
    </row>
    <row r="56" spans="1:9" ht="46.5" x14ac:dyDescent="0.25">
      <c r="A56" s="144" t="s">
        <v>306</v>
      </c>
      <c r="B56" s="144" t="s">
        <v>307</v>
      </c>
      <c r="C56" s="144" t="s">
        <v>571</v>
      </c>
      <c r="D56" s="144">
        <f>Таблица3[[#This Row],[5]]+Таблица3[[#This Row],[4]]+Таблица3[[#This Row],[6]]+Таблица3[[#This Row],[7]]</f>
        <v>0.4</v>
      </c>
      <c r="E56" s="137">
        <v>0.4</v>
      </c>
      <c r="F56" s="138"/>
      <c r="G56" s="139"/>
      <c r="H56" s="140"/>
      <c r="I56" s="145">
        <v>52</v>
      </c>
    </row>
    <row r="57" spans="1:9" ht="46.5" x14ac:dyDescent="0.25">
      <c r="A57" s="144" t="s">
        <v>308</v>
      </c>
      <c r="B57" s="144" t="s">
        <v>309</v>
      </c>
      <c r="C57" s="144" t="s">
        <v>542</v>
      </c>
      <c r="D57" s="144">
        <f>Таблица3[[#This Row],[5]]+Таблица3[[#This Row],[4]]+Таблица3[[#This Row],[6]]+Таблица3[[#This Row],[7]]</f>
        <v>0.65</v>
      </c>
      <c r="E57" s="137"/>
      <c r="F57" s="138"/>
      <c r="G57" s="139">
        <v>0.65</v>
      </c>
      <c r="H57" s="140"/>
      <c r="I57" s="145">
        <v>53</v>
      </c>
    </row>
    <row r="58" spans="1:9" ht="46.5" x14ac:dyDescent="0.25">
      <c r="A58" s="144" t="s">
        <v>310</v>
      </c>
      <c r="B58" s="144" t="s">
        <v>311</v>
      </c>
      <c r="C58" s="144" t="s">
        <v>542</v>
      </c>
      <c r="D58" s="144">
        <f>Таблица3[[#This Row],[5]]+Таблица3[[#This Row],[4]]+Таблица3[[#This Row],[6]]+Таблица3[[#This Row],[7]]</f>
        <v>0.8</v>
      </c>
      <c r="E58" s="137"/>
      <c r="F58" s="138"/>
      <c r="G58" s="139">
        <v>0.8</v>
      </c>
      <c r="H58" s="140"/>
      <c r="I58" s="145">
        <v>54</v>
      </c>
    </row>
    <row r="59" spans="1:9" ht="46.5" x14ac:dyDescent="0.25">
      <c r="A59" s="144" t="s">
        <v>312</v>
      </c>
      <c r="B59" s="144" t="s">
        <v>313</v>
      </c>
      <c r="C59" s="144" t="s">
        <v>542</v>
      </c>
      <c r="D59" s="144">
        <f>Таблица3[[#This Row],[5]]+Таблица3[[#This Row],[4]]+Таблица3[[#This Row],[6]]+Таблица3[[#This Row],[7]]</f>
        <v>1.8</v>
      </c>
      <c r="E59" s="137"/>
      <c r="F59" s="138"/>
      <c r="G59" s="139">
        <v>1.8</v>
      </c>
      <c r="H59" s="140"/>
      <c r="I59" s="145">
        <v>55</v>
      </c>
    </row>
    <row r="60" spans="1:9" ht="46.5" x14ac:dyDescent="0.25">
      <c r="A60" s="144" t="s">
        <v>314</v>
      </c>
      <c r="B60" s="144" t="s">
        <v>315</v>
      </c>
      <c r="C60" s="144" t="s">
        <v>542</v>
      </c>
      <c r="D60" s="144">
        <f>Таблица3[[#This Row],[5]]+Таблица3[[#This Row],[4]]+Таблица3[[#This Row],[6]]+Таблица3[[#This Row],[7]]</f>
        <v>0.55000000000000004</v>
      </c>
      <c r="E60" s="137"/>
      <c r="F60" s="138"/>
      <c r="G60" s="139">
        <v>0.55000000000000004</v>
      </c>
      <c r="H60" s="140"/>
      <c r="I60" s="145">
        <v>56</v>
      </c>
    </row>
    <row r="61" spans="1:9" ht="46.5" x14ac:dyDescent="0.25">
      <c r="A61" s="144" t="s">
        <v>316</v>
      </c>
      <c r="B61" s="144" t="s">
        <v>317</v>
      </c>
      <c r="C61" s="144" t="s">
        <v>542</v>
      </c>
      <c r="D61" s="144">
        <f>Таблица3[[#This Row],[5]]+Таблица3[[#This Row],[4]]+Таблица3[[#This Row],[6]]+Таблица3[[#This Row],[7]]</f>
        <v>1.3</v>
      </c>
      <c r="E61" s="137">
        <v>1.3</v>
      </c>
      <c r="F61" s="138"/>
      <c r="G61" s="139"/>
      <c r="H61" s="140"/>
      <c r="I61" s="145">
        <v>57</v>
      </c>
    </row>
    <row r="62" spans="1:9" ht="46.5" x14ac:dyDescent="0.25">
      <c r="A62" s="144" t="s">
        <v>318</v>
      </c>
      <c r="B62" s="144" t="s">
        <v>319</v>
      </c>
      <c r="C62" s="144" t="s">
        <v>542</v>
      </c>
      <c r="D62" s="144">
        <f>Таблица3[[#This Row],[5]]+Таблица3[[#This Row],[4]]+Таблица3[[#This Row],[6]]+Таблица3[[#This Row],[7]]</f>
        <v>0.5</v>
      </c>
      <c r="E62" s="137">
        <v>0.5</v>
      </c>
      <c r="F62" s="138"/>
      <c r="G62" s="139"/>
      <c r="H62" s="140"/>
      <c r="I62" s="145">
        <v>58</v>
      </c>
    </row>
    <row r="63" spans="1:9" ht="46.5" x14ac:dyDescent="0.25">
      <c r="A63" s="144" t="s">
        <v>320</v>
      </c>
      <c r="B63" s="144" t="s">
        <v>321</v>
      </c>
      <c r="C63" s="144" t="s">
        <v>542</v>
      </c>
      <c r="D63" s="144">
        <f>Таблица3[[#This Row],[5]]+Таблица3[[#This Row],[4]]+Таблица3[[#This Row],[6]]+Таблица3[[#This Row],[7]]</f>
        <v>5.2</v>
      </c>
      <c r="E63" s="137">
        <v>3.7</v>
      </c>
      <c r="F63" s="138"/>
      <c r="G63" s="139">
        <v>1.5</v>
      </c>
      <c r="H63" s="140"/>
      <c r="I63" s="145">
        <v>59</v>
      </c>
    </row>
    <row r="64" spans="1:9" ht="46.5" x14ac:dyDescent="0.25">
      <c r="A64" s="144" t="s">
        <v>322</v>
      </c>
      <c r="B64" s="144" t="s">
        <v>323</v>
      </c>
      <c r="C64" s="144" t="s">
        <v>542</v>
      </c>
      <c r="D64" s="144">
        <f>Таблица3[[#This Row],[5]]+Таблица3[[#This Row],[4]]+Таблица3[[#This Row],[6]]+Таблица3[[#This Row],[7]]</f>
        <v>2.4</v>
      </c>
      <c r="E64" s="137">
        <v>0.4</v>
      </c>
      <c r="F64" s="138">
        <v>2</v>
      </c>
      <c r="G64" s="139"/>
      <c r="H64" s="140"/>
      <c r="I64" s="145">
        <v>60</v>
      </c>
    </row>
    <row r="65" spans="1:9" ht="46.5" x14ac:dyDescent="0.25">
      <c r="A65" s="144" t="s">
        <v>324</v>
      </c>
      <c r="B65" s="144" t="s">
        <v>325</v>
      </c>
      <c r="C65" s="144" t="s">
        <v>542</v>
      </c>
      <c r="D65" s="144">
        <f>Таблица3[[#This Row],[5]]+Таблица3[[#This Row],[4]]+Таблица3[[#This Row],[6]]+Таблица3[[#This Row],[7]]</f>
        <v>0.95</v>
      </c>
      <c r="E65" s="137">
        <v>0.95</v>
      </c>
      <c r="F65" s="138"/>
      <c r="G65" s="139"/>
      <c r="H65" s="140"/>
      <c r="I65" s="145">
        <v>61</v>
      </c>
    </row>
    <row r="66" spans="1:9" ht="46.5" x14ac:dyDescent="0.25">
      <c r="A66" s="144" t="s">
        <v>326</v>
      </c>
      <c r="B66" s="144" t="s">
        <v>327</v>
      </c>
      <c r="C66" s="144" t="s">
        <v>542</v>
      </c>
      <c r="D66" s="144">
        <f>Таблица3[[#This Row],[5]]+Таблица3[[#This Row],[4]]+Таблица3[[#This Row],[6]]+Таблица3[[#This Row],[7]]</f>
        <v>1.1000000000000001</v>
      </c>
      <c r="E66" s="137">
        <v>1.1000000000000001</v>
      </c>
      <c r="F66" s="138"/>
      <c r="G66" s="139"/>
      <c r="H66" s="140"/>
      <c r="I66" s="145">
        <v>62</v>
      </c>
    </row>
    <row r="67" spans="1:9" ht="46.5" x14ac:dyDescent="0.25">
      <c r="A67" s="144" t="s">
        <v>328</v>
      </c>
      <c r="B67" s="144" t="s">
        <v>329</v>
      </c>
      <c r="C67" s="144" t="s">
        <v>542</v>
      </c>
      <c r="D67" s="144">
        <f>Таблица3[[#This Row],[5]]+Таблица3[[#This Row],[4]]+Таблица3[[#This Row],[6]]+Таблица3[[#This Row],[7]]</f>
        <v>0.5</v>
      </c>
      <c r="E67" s="137">
        <v>0.5</v>
      </c>
      <c r="F67" s="138"/>
      <c r="G67" s="139"/>
      <c r="H67" s="140"/>
      <c r="I67" s="145">
        <v>63</v>
      </c>
    </row>
    <row r="68" spans="1:9" ht="46.5" x14ac:dyDescent="0.25">
      <c r="A68" s="144" t="s">
        <v>330</v>
      </c>
      <c r="B68" s="144" t="s">
        <v>331</v>
      </c>
      <c r="C68" s="144" t="s">
        <v>542</v>
      </c>
      <c r="D68" s="144">
        <f>Таблица3[[#This Row],[5]]+Таблица3[[#This Row],[4]]+Таблица3[[#This Row],[6]]+Таблица3[[#This Row],[7]]</f>
        <v>1.2</v>
      </c>
      <c r="E68" s="137">
        <v>1</v>
      </c>
      <c r="F68" s="138"/>
      <c r="G68" s="139">
        <v>0.2</v>
      </c>
      <c r="H68" s="140"/>
      <c r="I68" s="145">
        <v>64</v>
      </c>
    </row>
    <row r="69" spans="1:9" ht="46.5" x14ac:dyDescent="0.25">
      <c r="A69" s="144" t="s">
        <v>332</v>
      </c>
      <c r="B69" s="144" t="s">
        <v>333</v>
      </c>
      <c r="C69" s="144" t="s">
        <v>542</v>
      </c>
      <c r="D69" s="144">
        <f>Таблица3[[#This Row],[5]]+Таблица3[[#This Row],[4]]+Таблица3[[#This Row],[6]]+Таблица3[[#This Row],[7]]</f>
        <v>0.6</v>
      </c>
      <c r="E69" s="137"/>
      <c r="F69" s="138">
        <v>0.6</v>
      </c>
      <c r="G69" s="139"/>
      <c r="H69" s="140"/>
      <c r="I69" s="145">
        <v>65</v>
      </c>
    </row>
    <row r="70" spans="1:9" ht="46.5" x14ac:dyDescent="0.25">
      <c r="A70" s="146" t="s">
        <v>334</v>
      </c>
      <c r="B70" s="146" t="s">
        <v>335</v>
      </c>
      <c r="C70" s="146" t="s">
        <v>543</v>
      </c>
      <c r="D70" s="144">
        <f>Таблица3[[#This Row],[5]]+Таблица3[[#This Row],[4]]+Таблица3[[#This Row],[6]]+Таблица3[[#This Row],[7]]</f>
        <v>2</v>
      </c>
      <c r="E70" s="143">
        <v>0.2</v>
      </c>
      <c r="F70" s="138">
        <v>0.3</v>
      </c>
      <c r="G70" s="139">
        <v>1</v>
      </c>
      <c r="H70" s="140">
        <v>0.5</v>
      </c>
      <c r="I70" s="145">
        <v>66</v>
      </c>
    </row>
    <row r="71" spans="1:9" ht="46.5" x14ac:dyDescent="0.25">
      <c r="A71" s="144" t="s">
        <v>336</v>
      </c>
      <c r="B71" s="144" t="s">
        <v>337</v>
      </c>
      <c r="C71" s="144" t="s">
        <v>543</v>
      </c>
      <c r="D71" s="144">
        <f>Таблица3[[#This Row],[5]]+Таблица3[[#This Row],[4]]+Таблица3[[#This Row],[6]]+Таблица3[[#This Row],[7]]</f>
        <v>0.3</v>
      </c>
      <c r="E71" s="143">
        <v>0.3</v>
      </c>
      <c r="F71" s="138"/>
      <c r="G71" s="139"/>
      <c r="H71" s="140"/>
      <c r="I71" s="145">
        <v>67</v>
      </c>
    </row>
    <row r="72" spans="1:9" ht="46.5" x14ac:dyDescent="0.25">
      <c r="A72" s="144" t="s">
        <v>338</v>
      </c>
      <c r="B72" s="144" t="s">
        <v>339</v>
      </c>
      <c r="C72" s="144" t="s">
        <v>543</v>
      </c>
      <c r="D72" s="144">
        <f>Таблица3[[#This Row],[5]]+Таблица3[[#This Row],[4]]+Таблица3[[#This Row],[6]]+Таблица3[[#This Row],[7]]</f>
        <v>0.85</v>
      </c>
      <c r="E72" s="143">
        <v>0.85</v>
      </c>
      <c r="F72" s="138"/>
      <c r="G72" s="139"/>
      <c r="H72" s="140"/>
      <c r="I72" s="145">
        <v>68</v>
      </c>
    </row>
    <row r="73" spans="1:9" ht="46.5" x14ac:dyDescent="0.25">
      <c r="A73" s="144" t="s">
        <v>340</v>
      </c>
      <c r="B73" s="144" t="s">
        <v>341</v>
      </c>
      <c r="C73" s="144" t="s">
        <v>543</v>
      </c>
      <c r="D73" s="144">
        <f>Таблица3[[#This Row],[5]]+Таблица3[[#This Row],[4]]+Таблица3[[#This Row],[6]]+Таблица3[[#This Row],[7]]</f>
        <v>0.4</v>
      </c>
      <c r="E73" s="143">
        <v>0.4</v>
      </c>
      <c r="F73" s="138"/>
      <c r="G73" s="139"/>
      <c r="H73" s="140"/>
      <c r="I73" s="145">
        <v>69</v>
      </c>
    </row>
    <row r="74" spans="1:9" ht="46.5" x14ac:dyDescent="0.25">
      <c r="A74" s="144" t="s">
        <v>342</v>
      </c>
      <c r="B74" s="144" t="s">
        <v>343</v>
      </c>
      <c r="C74" s="144" t="s">
        <v>543</v>
      </c>
      <c r="D74" s="144">
        <f>Таблица3[[#This Row],[5]]+Таблица3[[#This Row],[4]]+Таблица3[[#This Row],[6]]+Таблица3[[#This Row],[7]]</f>
        <v>1.45</v>
      </c>
      <c r="E74" s="143">
        <v>1.45</v>
      </c>
      <c r="F74" s="138"/>
      <c r="G74" s="139"/>
      <c r="H74" s="140"/>
      <c r="I74" s="145">
        <v>70</v>
      </c>
    </row>
    <row r="75" spans="1:9" ht="46.5" x14ac:dyDescent="0.25">
      <c r="A75" s="144" t="s">
        <v>344</v>
      </c>
      <c r="B75" s="144" t="s">
        <v>345</v>
      </c>
      <c r="C75" s="144" t="s">
        <v>543</v>
      </c>
      <c r="D75" s="144">
        <f>Таблица3[[#This Row],[5]]+Таблица3[[#This Row],[4]]+Таблица3[[#This Row],[6]]+Таблица3[[#This Row],[7]]</f>
        <v>0.8</v>
      </c>
      <c r="E75" s="143">
        <v>0.8</v>
      </c>
      <c r="F75" s="138"/>
      <c r="G75" s="139"/>
      <c r="H75" s="140"/>
      <c r="I75" s="145">
        <v>71</v>
      </c>
    </row>
    <row r="76" spans="1:9" ht="46.5" x14ac:dyDescent="0.25">
      <c r="A76" s="144" t="s">
        <v>346</v>
      </c>
      <c r="B76" s="144" t="s">
        <v>347</v>
      </c>
      <c r="C76" s="144" t="s">
        <v>543</v>
      </c>
      <c r="D76" s="144">
        <f>Таблица3[[#This Row],[5]]+Таблица3[[#This Row],[4]]+Таблица3[[#This Row],[6]]+Таблица3[[#This Row],[7]]</f>
        <v>1.5</v>
      </c>
      <c r="E76" s="143">
        <v>1.5</v>
      </c>
      <c r="F76" s="138"/>
      <c r="G76" s="139"/>
      <c r="H76" s="140"/>
      <c r="I76" s="145">
        <v>72</v>
      </c>
    </row>
    <row r="77" spans="1:9" ht="46.5" x14ac:dyDescent="0.25">
      <c r="A77" s="144" t="s">
        <v>348</v>
      </c>
      <c r="B77" s="144" t="s">
        <v>349</v>
      </c>
      <c r="C77" s="144" t="s">
        <v>543</v>
      </c>
      <c r="D77" s="144">
        <f>Таблица3[[#This Row],[5]]+Таблица3[[#This Row],[4]]+Таблица3[[#This Row],[6]]+Таблица3[[#This Row],[7]]</f>
        <v>0.65</v>
      </c>
      <c r="E77" s="143">
        <v>0.65</v>
      </c>
      <c r="F77" s="138"/>
      <c r="G77" s="139"/>
      <c r="H77" s="140"/>
      <c r="I77" s="145">
        <v>73</v>
      </c>
    </row>
    <row r="78" spans="1:9" ht="46.5" x14ac:dyDescent="0.25">
      <c r="A78" s="144" t="s">
        <v>350</v>
      </c>
      <c r="B78" s="144" t="s">
        <v>351</v>
      </c>
      <c r="C78" s="144" t="s">
        <v>543</v>
      </c>
      <c r="D78" s="144">
        <f>Таблица3[[#This Row],[5]]+Таблица3[[#This Row],[4]]+Таблица3[[#This Row],[6]]+Таблица3[[#This Row],[7]]</f>
        <v>0.75</v>
      </c>
      <c r="E78" s="143">
        <v>0.75</v>
      </c>
      <c r="F78" s="138"/>
      <c r="G78" s="139"/>
      <c r="H78" s="140"/>
      <c r="I78" s="145">
        <v>74</v>
      </c>
    </row>
    <row r="79" spans="1:9" ht="46.5" x14ac:dyDescent="0.25">
      <c r="A79" s="144" t="s">
        <v>352</v>
      </c>
      <c r="B79" s="144" t="s">
        <v>353</v>
      </c>
      <c r="C79" s="144" t="s">
        <v>543</v>
      </c>
      <c r="D79" s="144">
        <f>Таблица3[[#This Row],[5]]+Таблица3[[#This Row],[4]]+Таблица3[[#This Row],[6]]+Таблица3[[#This Row],[7]]</f>
        <v>0.6</v>
      </c>
      <c r="E79" s="143">
        <v>0.6</v>
      </c>
      <c r="F79" s="138"/>
      <c r="G79" s="139"/>
      <c r="H79" s="140"/>
      <c r="I79" s="145">
        <v>75</v>
      </c>
    </row>
    <row r="80" spans="1:9" ht="46.5" x14ac:dyDescent="0.25">
      <c r="A80" s="144" t="s">
        <v>354</v>
      </c>
      <c r="B80" s="144" t="s">
        <v>355</v>
      </c>
      <c r="C80" s="144" t="s">
        <v>543</v>
      </c>
      <c r="D80" s="144">
        <f>Таблица3[[#This Row],[5]]+Таблица3[[#This Row],[4]]+Таблица3[[#This Row],[6]]+Таблица3[[#This Row],[7]]</f>
        <v>0.3</v>
      </c>
      <c r="E80" s="143">
        <v>0.3</v>
      </c>
      <c r="F80" s="138"/>
      <c r="G80" s="139"/>
      <c r="H80" s="140"/>
      <c r="I80" s="145">
        <v>76</v>
      </c>
    </row>
    <row r="81" spans="1:9" ht="46.5" x14ac:dyDescent="0.25">
      <c r="A81" s="144" t="s">
        <v>356</v>
      </c>
      <c r="B81" s="144" t="s">
        <v>357</v>
      </c>
      <c r="C81" s="144" t="s">
        <v>544</v>
      </c>
      <c r="D81" s="144">
        <f>Таблица3[[#This Row],[5]]+Таблица3[[#This Row],[4]]+Таблица3[[#This Row],[6]]+Таблица3[[#This Row],[7]]</f>
        <v>3.0449999999999999</v>
      </c>
      <c r="E81" s="137">
        <v>2.0390000000000001</v>
      </c>
      <c r="F81" s="138">
        <v>0.98799999999999999</v>
      </c>
      <c r="G81" s="139">
        <v>1.7999999999999999E-2</v>
      </c>
      <c r="H81" s="140"/>
      <c r="I81" s="145">
        <v>77</v>
      </c>
    </row>
    <row r="82" spans="1:9" ht="46.5" x14ac:dyDescent="0.25">
      <c r="A82" s="144" t="s">
        <v>358</v>
      </c>
      <c r="B82" s="144" t="s">
        <v>359</v>
      </c>
      <c r="C82" s="144" t="s">
        <v>544</v>
      </c>
      <c r="D82" s="144">
        <f>Таблица3[[#This Row],[5]]+Таблица3[[#This Row],[4]]+Таблица3[[#This Row],[6]]+Таблица3[[#This Row],[7]]</f>
        <v>1</v>
      </c>
      <c r="E82" s="137">
        <v>1</v>
      </c>
      <c r="F82" s="138"/>
      <c r="G82" s="139"/>
      <c r="H82" s="140"/>
      <c r="I82" s="145">
        <v>78</v>
      </c>
    </row>
    <row r="83" spans="1:9" ht="46.5" x14ac:dyDescent="0.25">
      <c r="A83" s="144" t="s">
        <v>360</v>
      </c>
      <c r="B83" s="144" t="s">
        <v>361</v>
      </c>
      <c r="C83" s="144" t="s">
        <v>544</v>
      </c>
      <c r="D83" s="144">
        <f>Таблица3[[#This Row],[5]]+Таблица3[[#This Row],[4]]+Таблица3[[#This Row],[6]]+Таблица3[[#This Row],[7]]</f>
        <v>1.8</v>
      </c>
      <c r="E83" s="137">
        <v>1.8</v>
      </c>
      <c r="F83" s="138"/>
      <c r="G83" s="139"/>
      <c r="H83" s="140"/>
      <c r="I83" s="145">
        <v>79</v>
      </c>
    </row>
    <row r="84" spans="1:9" ht="46.5" x14ac:dyDescent="0.25">
      <c r="A84" s="144" t="s">
        <v>362</v>
      </c>
      <c r="B84" s="144" t="s">
        <v>363</v>
      </c>
      <c r="C84" s="144" t="s">
        <v>544</v>
      </c>
      <c r="D84" s="144">
        <f>Таблица3[[#This Row],[5]]+Таблица3[[#This Row],[4]]+Таблица3[[#This Row],[6]]+Таблица3[[#This Row],[7]]</f>
        <v>1</v>
      </c>
      <c r="E84" s="137">
        <v>1</v>
      </c>
      <c r="F84" s="138"/>
      <c r="G84" s="139"/>
      <c r="H84" s="140"/>
      <c r="I84" s="145">
        <v>80</v>
      </c>
    </row>
    <row r="85" spans="1:9" ht="46.5" x14ac:dyDescent="0.25">
      <c r="A85" s="144" t="s">
        <v>364</v>
      </c>
      <c r="B85" s="144" t="s">
        <v>365</v>
      </c>
      <c r="C85" s="144" t="s">
        <v>544</v>
      </c>
      <c r="D85" s="144">
        <f>Таблица3[[#This Row],[5]]+Таблица3[[#This Row],[4]]+Таблица3[[#This Row],[6]]+Таблица3[[#This Row],[7]]</f>
        <v>1.1000000000000001</v>
      </c>
      <c r="E85" s="137">
        <v>1.1000000000000001</v>
      </c>
      <c r="F85" s="138"/>
      <c r="G85" s="139"/>
      <c r="H85" s="140"/>
      <c r="I85" s="145">
        <v>81</v>
      </c>
    </row>
    <row r="86" spans="1:9" ht="46.5" x14ac:dyDescent="0.25">
      <c r="A86" s="144" t="s">
        <v>334</v>
      </c>
      <c r="B86" s="144" t="s">
        <v>366</v>
      </c>
      <c r="C86" s="144" t="s">
        <v>545</v>
      </c>
      <c r="D86" s="144">
        <f>Таблица3[[#This Row],[5]]+Таблица3[[#This Row],[4]]+Таблица3[[#This Row],[6]]+Таблица3[[#This Row],[7]]</f>
        <v>4.32</v>
      </c>
      <c r="E86" s="137">
        <v>2</v>
      </c>
      <c r="F86" s="138">
        <v>2</v>
      </c>
      <c r="G86" s="139"/>
      <c r="H86" s="140">
        <v>0.32</v>
      </c>
      <c r="I86" s="145">
        <v>82</v>
      </c>
    </row>
    <row r="87" spans="1:9" ht="46.5" x14ac:dyDescent="0.25">
      <c r="A87" s="144" t="s">
        <v>336</v>
      </c>
      <c r="B87" s="144" t="s">
        <v>367</v>
      </c>
      <c r="C87" s="144" t="s">
        <v>545</v>
      </c>
      <c r="D87" s="144">
        <f>Таблица3[[#This Row],[5]]+Таблица3[[#This Row],[4]]+Таблица3[[#This Row],[6]]+Таблица3[[#This Row],[7]]</f>
        <v>2.2000000000000002</v>
      </c>
      <c r="E87" s="137">
        <v>0.7</v>
      </c>
      <c r="F87" s="138"/>
      <c r="G87" s="139">
        <v>1.5</v>
      </c>
      <c r="H87" s="140"/>
      <c r="I87" s="145">
        <v>83</v>
      </c>
    </row>
    <row r="88" spans="1:9" ht="46.5" x14ac:dyDescent="0.25">
      <c r="A88" s="144" t="s">
        <v>338</v>
      </c>
      <c r="B88" s="144" t="s">
        <v>368</v>
      </c>
      <c r="C88" s="144" t="s">
        <v>545</v>
      </c>
      <c r="D88" s="144">
        <f>Таблица3[[#This Row],[5]]+Таблица3[[#This Row],[4]]+Таблица3[[#This Row],[6]]+Таблица3[[#This Row],[7]]</f>
        <v>1.5</v>
      </c>
      <c r="E88" s="137">
        <v>1.5</v>
      </c>
      <c r="F88" s="138"/>
      <c r="G88" s="139"/>
      <c r="H88" s="140"/>
      <c r="I88" s="145">
        <v>84</v>
      </c>
    </row>
    <row r="89" spans="1:9" ht="69.75" x14ac:dyDescent="0.25">
      <c r="A89" s="144" t="s">
        <v>567</v>
      </c>
      <c r="B89" s="144" t="s">
        <v>369</v>
      </c>
      <c r="C89" s="144" t="s">
        <v>545</v>
      </c>
      <c r="D89" s="144">
        <f>Таблица3[[#This Row],[5]]+Таблица3[[#This Row],[4]]+Таблица3[[#This Row],[6]]+Таблица3[[#This Row],[7]]</f>
        <v>2.1</v>
      </c>
      <c r="E89" s="137">
        <v>2.1</v>
      </c>
      <c r="F89" s="138"/>
      <c r="G89" s="139"/>
      <c r="H89" s="140"/>
      <c r="I89" s="145">
        <v>85</v>
      </c>
    </row>
    <row r="90" spans="1:9" ht="46.5" x14ac:dyDescent="0.25">
      <c r="A90" s="144" t="s">
        <v>342</v>
      </c>
      <c r="B90" s="144" t="s">
        <v>370</v>
      </c>
      <c r="C90" s="144" t="s">
        <v>545</v>
      </c>
      <c r="D90" s="144">
        <f>Таблица3[[#This Row],[5]]+Таблица3[[#This Row],[4]]+Таблица3[[#This Row],[6]]+Таблица3[[#This Row],[7]]</f>
        <v>1</v>
      </c>
      <c r="E90" s="137">
        <v>1</v>
      </c>
      <c r="F90" s="138"/>
      <c r="G90" s="139"/>
      <c r="H90" s="140"/>
      <c r="I90" s="145">
        <v>86</v>
      </c>
    </row>
    <row r="91" spans="1:9" ht="46.5" x14ac:dyDescent="0.25">
      <c r="A91" s="144" t="s">
        <v>344</v>
      </c>
      <c r="B91" s="144" t="s">
        <v>371</v>
      </c>
      <c r="C91" s="144" t="s">
        <v>545</v>
      </c>
      <c r="D91" s="144">
        <f>Таблица3[[#This Row],[5]]+Таблица3[[#This Row],[4]]+Таблица3[[#This Row],[6]]+Таблица3[[#This Row],[7]]</f>
        <v>1.5</v>
      </c>
      <c r="E91" s="137">
        <v>1.5</v>
      </c>
      <c r="F91" s="138"/>
      <c r="G91" s="139"/>
      <c r="H91" s="140"/>
      <c r="I91" s="145">
        <v>87</v>
      </c>
    </row>
    <row r="92" spans="1:9" ht="46.5" x14ac:dyDescent="0.25">
      <c r="A92" s="144" t="s">
        <v>346</v>
      </c>
      <c r="B92" s="144" t="s">
        <v>372</v>
      </c>
      <c r="C92" s="144" t="s">
        <v>545</v>
      </c>
      <c r="D92" s="144">
        <f>Таблица3[[#This Row],[5]]+Таблица3[[#This Row],[4]]+Таблица3[[#This Row],[6]]+Таблица3[[#This Row],[7]]</f>
        <v>2.5</v>
      </c>
      <c r="E92" s="137">
        <v>2.5</v>
      </c>
      <c r="F92" s="138"/>
      <c r="G92" s="139"/>
      <c r="H92" s="140"/>
      <c r="I92" s="145">
        <v>88</v>
      </c>
    </row>
    <row r="93" spans="1:9" ht="46.5" x14ac:dyDescent="0.25">
      <c r="A93" s="144" t="s">
        <v>348</v>
      </c>
      <c r="B93" s="144" t="s">
        <v>373</v>
      </c>
      <c r="C93" s="144" t="s">
        <v>545</v>
      </c>
      <c r="D93" s="144">
        <f>Таблица3[[#This Row],[5]]+Таблица3[[#This Row],[4]]+Таблица3[[#This Row],[6]]+Таблица3[[#This Row],[7]]</f>
        <v>1.5</v>
      </c>
      <c r="E93" s="137">
        <v>1.5</v>
      </c>
      <c r="F93" s="138"/>
      <c r="G93" s="139"/>
      <c r="H93" s="140"/>
      <c r="I93" s="145">
        <v>89</v>
      </c>
    </row>
    <row r="94" spans="1:9" ht="46.5" x14ac:dyDescent="0.25">
      <c r="A94" s="144" t="s">
        <v>350</v>
      </c>
      <c r="B94" s="144" t="s">
        <v>374</v>
      </c>
      <c r="C94" s="144" t="s">
        <v>545</v>
      </c>
      <c r="D94" s="144">
        <f>Таблица3[[#This Row],[5]]+Таблица3[[#This Row],[4]]+Таблица3[[#This Row],[6]]+Таблица3[[#This Row],[7]]</f>
        <v>1.7</v>
      </c>
      <c r="E94" s="137">
        <v>0.2</v>
      </c>
      <c r="F94" s="138">
        <v>1.5</v>
      </c>
      <c r="G94" s="139"/>
      <c r="H94" s="140"/>
      <c r="I94" s="145">
        <v>90</v>
      </c>
    </row>
    <row r="95" spans="1:9" ht="46.5" x14ac:dyDescent="0.25">
      <c r="A95" s="144" t="s">
        <v>352</v>
      </c>
      <c r="B95" s="144" t="s">
        <v>375</v>
      </c>
      <c r="C95" s="144" t="s">
        <v>545</v>
      </c>
      <c r="D95" s="144">
        <f>Таблица3[[#This Row],[5]]+Таблица3[[#This Row],[4]]+Таблица3[[#This Row],[6]]+Таблица3[[#This Row],[7]]</f>
        <v>1.2</v>
      </c>
      <c r="E95" s="137">
        <v>1.2</v>
      </c>
      <c r="F95" s="138"/>
      <c r="G95" s="139"/>
      <c r="H95" s="140"/>
      <c r="I95" s="145">
        <v>91</v>
      </c>
    </row>
    <row r="96" spans="1:9" ht="46.5" x14ac:dyDescent="0.25">
      <c r="A96" s="144" t="s">
        <v>354</v>
      </c>
      <c r="B96" s="144" t="s">
        <v>376</v>
      </c>
      <c r="C96" s="144" t="s">
        <v>545</v>
      </c>
      <c r="D96" s="144">
        <f>Таблица3[[#This Row],[5]]+Таблица3[[#This Row],[4]]+Таблица3[[#This Row],[6]]+Таблица3[[#This Row],[7]]</f>
        <v>1</v>
      </c>
      <c r="E96" s="137">
        <v>1</v>
      </c>
      <c r="F96" s="138"/>
      <c r="G96" s="139"/>
      <c r="H96" s="140"/>
      <c r="I96" s="145">
        <v>92</v>
      </c>
    </row>
    <row r="97" spans="1:9" ht="46.5" x14ac:dyDescent="0.25">
      <c r="A97" s="144" t="s">
        <v>377</v>
      </c>
      <c r="B97" s="144" t="s">
        <v>378</v>
      </c>
      <c r="C97" s="144" t="s">
        <v>546</v>
      </c>
      <c r="D97" s="144">
        <f>Таблица3[[#This Row],[5]]+Таблица3[[#This Row],[4]]+Таблица3[[#This Row],[6]]+Таблица3[[#This Row],[7]]</f>
        <v>1.5</v>
      </c>
      <c r="E97" s="137">
        <v>1.3</v>
      </c>
      <c r="F97" s="138"/>
      <c r="G97" s="139">
        <v>0.2</v>
      </c>
      <c r="H97" s="140"/>
      <c r="I97" s="145">
        <v>93</v>
      </c>
    </row>
    <row r="98" spans="1:9" ht="46.5" x14ac:dyDescent="0.25">
      <c r="A98" s="144" t="s">
        <v>379</v>
      </c>
      <c r="B98" s="144" t="s">
        <v>380</v>
      </c>
      <c r="C98" s="144" t="s">
        <v>546</v>
      </c>
      <c r="D98" s="144">
        <f>Таблица3[[#This Row],[5]]+Таблица3[[#This Row],[4]]+Таблица3[[#This Row],[6]]+Таблица3[[#This Row],[7]]</f>
        <v>2</v>
      </c>
      <c r="E98" s="137">
        <v>2</v>
      </c>
      <c r="F98" s="138"/>
      <c r="G98" s="139"/>
      <c r="H98" s="140"/>
      <c r="I98" s="145">
        <v>94</v>
      </c>
    </row>
    <row r="99" spans="1:9" ht="46.5" x14ac:dyDescent="0.25">
      <c r="A99" s="144" t="s">
        <v>381</v>
      </c>
      <c r="B99" s="144" t="s">
        <v>382</v>
      </c>
      <c r="C99" s="144" t="s">
        <v>546</v>
      </c>
      <c r="D99" s="144">
        <f>Таблица3[[#This Row],[5]]+Таблица3[[#This Row],[4]]+Таблица3[[#This Row],[6]]+Таблица3[[#This Row],[7]]</f>
        <v>2</v>
      </c>
      <c r="E99" s="137">
        <v>2</v>
      </c>
      <c r="F99" s="138"/>
      <c r="G99" s="139"/>
      <c r="H99" s="140"/>
      <c r="I99" s="145">
        <v>95</v>
      </c>
    </row>
    <row r="100" spans="1:9" ht="46.5" x14ac:dyDescent="0.25">
      <c r="A100" s="144" t="s">
        <v>383</v>
      </c>
      <c r="B100" s="144" t="s">
        <v>384</v>
      </c>
      <c r="C100" s="144" t="s">
        <v>546</v>
      </c>
      <c r="D100" s="144">
        <f>Таблица3[[#This Row],[5]]+Таблица3[[#This Row],[4]]+Таблица3[[#This Row],[6]]+Таблица3[[#This Row],[7]]</f>
        <v>1</v>
      </c>
      <c r="E100" s="137">
        <v>1</v>
      </c>
      <c r="F100" s="138"/>
      <c r="G100" s="139"/>
      <c r="H100" s="140"/>
      <c r="I100" s="145">
        <v>96</v>
      </c>
    </row>
    <row r="101" spans="1:9" ht="46.5" x14ac:dyDescent="0.25">
      <c r="A101" s="144" t="s">
        <v>385</v>
      </c>
      <c r="B101" s="144" t="s">
        <v>386</v>
      </c>
      <c r="C101" s="144" t="s">
        <v>546</v>
      </c>
      <c r="D101" s="144">
        <f>Таблица3[[#This Row],[5]]+Таблица3[[#This Row],[4]]+Таблица3[[#This Row],[6]]+Таблица3[[#This Row],[7]]</f>
        <v>3</v>
      </c>
      <c r="E101" s="137">
        <v>3</v>
      </c>
      <c r="F101" s="138"/>
      <c r="G101" s="139"/>
      <c r="H101" s="140"/>
      <c r="I101" s="145">
        <v>97</v>
      </c>
    </row>
    <row r="102" spans="1:9" ht="46.5" x14ac:dyDescent="0.25">
      <c r="A102" s="144" t="s">
        <v>387</v>
      </c>
      <c r="B102" s="144" t="s">
        <v>388</v>
      </c>
      <c r="C102" s="144" t="s">
        <v>546</v>
      </c>
      <c r="D102" s="144">
        <f>Таблица3[[#This Row],[5]]+Таблица3[[#This Row],[4]]+Таблица3[[#This Row],[6]]+Таблица3[[#This Row],[7]]</f>
        <v>1</v>
      </c>
      <c r="E102" s="137">
        <v>1</v>
      </c>
      <c r="F102" s="138"/>
      <c r="G102" s="139"/>
      <c r="H102" s="140"/>
      <c r="I102" s="145">
        <v>98</v>
      </c>
    </row>
    <row r="103" spans="1:9" ht="46.5" x14ac:dyDescent="0.25">
      <c r="A103" s="144" t="s">
        <v>389</v>
      </c>
      <c r="B103" s="144" t="s">
        <v>390</v>
      </c>
      <c r="C103" s="144" t="s">
        <v>546</v>
      </c>
      <c r="D103" s="144">
        <f>Таблица3[[#This Row],[5]]+Таблица3[[#This Row],[4]]+Таблица3[[#This Row],[6]]+Таблица3[[#This Row],[7]]</f>
        <v>1.5</v>
      </c>
      <c r="E103" s="137">
        <v>1.5</v>
      </c>
      <c r="F103" s="138"/>
      <c r="G103" s="139"/>
      <c r="H103" s="140"/>
      <c r="I103" s="145">
        <v>99</v>
      </c>
    </row>
    <row r="104" spans="1:9" ht="46.5" x14ac:dyDescent="0.25">
      <c r="A104" s="144" t="s">
        <v>391</v>
      </c>
      <c r="B104" s="144" t="s">
        <v>392</v>
      </c>
      <c r="C104" s="144" t="s">
        <v>546</v>
      </c>
      <c r="D104" s="144">
        <f>Таблица3[[#This Row],[5]]+Таблица3[[#This Row],[4]]+Таблица3[[#This Row],[6]]+Таблица3[[#This Row],[7]]</f>
        <v>1.5</v>
      </c>
      <c r="E104" s="137">
        <v>1.5</v>
      </c>
      <c r="F104" s="138"/>
      <c r="G104" s="139"/>
      <c r="H104" s="140"/>
      <c r="I104" s="145">
        <v>100</v>
      </c>
    </row>
    <row r="105" spans="1:9" ht="46.5" x14ac:dyDescent="0.25">
      <c r="A105" s="144" t="s">
        <v>393</v>
      </c>
      <c r="B105" s="144" t="s">
        <v>394</v>
      </c>
      <c r="C105" s="144" t="s">
        <v>546</v>
      </c>
      <c r="D105" s="144">
        <f>Таблица3[[#This Row],[5]]+Таблица3[[#This Row],[4]]+Таблица3[[#This Row],[6]]+Таблица3[[#This Row],[7]]</f>
        <v>1.5</v>
      </c>
      <c r="E105" s="137">
        <v>1.5</v>
      </c>
      <c r="F105" s="138"/>
      <c r="G105" s="139"/>
      <c r="H105" s="140"/>
      <c r="I105" s="145">
        <v>101</v>
      </c>
    </row>
    <row r="106" spans="1:9" ht="46.5" x14ac:dyDescent="0.25">
      <c r="A106" s="144" t="s">
        <v>395</v>
      </c>
      <c r="B106" s="144" t="s">
        <v>396</v>
      </c>
      <c r="C106" s="144" t="s">
        <v>546</v>
      </c>
      <c r="D106" s="144">
        <f>Таблица3[[#This Row],[5]]+Таблица3[[#This Row],[4]]+Таблица3[[#This Row],[6]]+Таблица3[[#This Row],[7]]</f>
        <v>1</v>
      </c>
      <c r="E106" s="137">
        <v>1</v>
      </c>
      <c r="F106" s="138"/>
      <c r="G106" s="139"/>
      <c r="H106" s="140"/>
      <c r="I106" s="145">
        <v>102</v>
      </c>
    </row>
    <row r="107" spans="1:9" ht="46.5" x14ac:dyDescent="0.25">
      <c r="A107" s="144" t="s">
        <v>397</v>
      </c>
      <c r="B107" s="144" t="s">
        <v>398</v>
      </c>
      <c r="C107" s="144" t="s">
        <v>547</v>
      </c>
      <c r="D107" s="144">
        <f>Таблица3[[#This Row],[5]]+Таблица3[[#This Row],[4]]+Таблица3[[#This Row],[6]]+Таблица3[[#This Row],[7]]</f>
        <v>5.0999999999999996</v>
      </c>
      <c r="E107" s="137">
        <v>3</v>
      </c>
      <c r="F107" s="138">
        <v>1.1000000000000001</v>
      </c>
      <c r="G107" s="139">
        <v>1</v>
      </c>
      <c r="H107" s="140"/>
      <c r="I107" s="145">
        <v>103</v>
      </c>
    </row>
    <row r="108" spans="1:9" ht="46.5" x14ac:dyDescent="0.25">
      <c r="A108" s="144" t="s">
        <v>399</v>
      </c>
      <c r="B108" s="144" t="s">
        <v>400</v>
      </c>
      <c r="C108" s="144" t="s">
        <v>547</v>
      </c>
      <c r="D108" s="144">
        <f>Таблица3[[#This Row],[5]]+Таблица3[[#This Row],[4]]+Таблица3[[#This Row],[6]]+Таблица3[[#This Row],[7]]</f>
        <v>1.5</v>
      </c>
      <c r="E108" s="137"/>
      <c r="F108" s="138">
        <v>0.5</v>
      </c>
      <c r="G108" s="139">
        <v>1</v>
      </c>
      <c r="H108" s="140"/>
      <c r="I108" s="145">
        <v>104</v>
      </c>
    </row>
    <row r="109" spans="1:9" ht="46.5" x14ac:dyDescent="0.25">
      <c r="A109" s="144" t="s">
        <v>401</v>
      </c>
      <c r="B109" s="144" t="s">
        <v>402</v>
      </c>
      <c r="C109" s="144" t="s">
        <v>547</v>
      </c>
      <c r="D109" s="144">
        <f>Таблица3[[#This Row],[5]]+Таблица3[[#This Row],[4]]+Таблица3[[#This Row],[6]]+Таблица3[[#This Row],[7]]</f>
        <v>0.5</v>
      </c>
      <c r="E109" s="137">
        <v>0.2</v>
      </c>
      <c r="F109" s="138"/>
      <c r="G109" s="139">
        <v>0.3</v>
      </c>
      <c r="H109" s="140"/>
      <c r="I109" s="145">
        <v>105</v>
      </c>
    </row>
    <row r="110" spans="1:9" ht="46.5" x14ac:dyDescent="0.25">
      <c r="A110" s="144" t="s">
        <v>403</v>
      </c>
      <c r="B110" s="144" t="s">
        <v>404</v>
      </c>
      <c r="C110" s="144" t="s">
        <v>547</v>
      </c>
      <c r="D110" s="144">
        <f>Таблица3[[#This Row],[5]]+Таблица3[[#This Row],[4]]+Таблица3[[#This Row],[6]]+Таблица3[[#This Row],[7]]</f>
        <v>2.6</v>
      </c>
      <c r="E110" s="137">
        <v>1.6</v>
      </c>
      <c r="F110" s="138"/>
      <c r="G110" s="139">
        <v>1</v>
      </c>
      <c r="H110" s="140"/>
      <c r="I110" s="145">
        <v>106</v>
      </c>
    </row>
    <row r="111" spans="1:9" ht="46.5" x14ac:dyDescent="0.25">
      <c r="A111" s="144" t="s">
        <v>405</v>
      </c>
      <c r="B111" s="144" t="s">
        <v>406</v>
      </c>
      <c r="C111" s="144" t="s">
        <v>547</v>
      </c>
      <c r="D111" s="144">
        <f>Таблица3[[#This Row],[5]]+Таблица3[[#This Row],[4]]+Таблица3[[#This Row],[6]]+Таблица3[[#This Row],[7]]</f>
        <v>0.6</v>
      </c>
      <c r="E111" s="137"/>
      <c r="F111" s="138">
        <v>0.6</v>
      </c>
      <c r="G111" s="139"/>
      <c r="H111" s="140"/>
      <c r="I111" s="145">
        <v>107</v>
      </c>
    </row>
    <row r="112" spans="1:9" ht="46.5" x14ac:dyDescent="0.25">
      <c r="A112" s="144" t="s">
        <v>407</v>
      </c>
      <c r="B112" s="144" t="s">
        <v>408</v>
      </c>
      <c r="C112" s="144" t="s">
        <v>547</v>
      </c>
      <c r="D112" s="144">
        <f>Таблица3[[#This Row],[5]]+Таблица3[[#This Row],[4]]+Таблица3[[#This Row],[6]]+Таблица3[[#This Row],[7]]</f>
        <v>0.7</v>
      </c>
      <c r="E112" s="137">
        <v>0.7</v>
      </c>
      <c r="F112" s="138"/>
      <c r="G112" s="139"/>
      <c r="H112" s="140"/>
      <c r="I112" s="145">
        <v>108</v>
      </c>
    </row>
    <row r="113" spans="1:9" ht="46.5" x14ac:dyDescent="0.25">
      <c r="A113" s="144" t="s">
        <v>409</v>
      </c>
      <c r="B113" s="144" t="s">
        <v>410</v>
      </c>
      <c r="C113" s="144" t="s">
        <v>547</v>
      </c>
      <c r="D113" s="144">
        <f>Таблица3[[#This Row],[5]]+Таблица3[[#This Row],[4]]+Таблица3[[#This Row],[6]]+Таблица3[[#This Row],[7]]</f>
        <v>1</v>
      </c>
      <c r="E113" s="137">
        <v>0.5</v>
      </c>
      <c r="F113" s="138">
        <v>0.5</v>
      </c>
      <c r="G113" s="139"/>
      <c r="H113" s="140"/>
      <c r="I113" s="145">
        <v>109</v>
      </c>
    </row>
    <row r="114" spans="1:9" ht="46.5" x14ac:dyDescent="0.25">
      <c r="A114" s="144" t="s">
        <v>411</v>
      </c>
      <c r="B114" s="144" t="s">
        <v>412</v>
      </c>
      <c r="C114" s="144" t="s">
        <v>548</v>
      </c>
      <c r="D114" s="144">
        <f>Таблица3[[#This Row],[5]]+Таблица3[[#This Row],[4]]+Таблица3[[#This Row],[6]]+Таблица3[[#This Row],[7]]</f>
        <v>4.9000000000000004</v>
      </c>
      <c r="E114" s="137">
        <v>0.3</v>
      </c>
      <c r="F114" s="138">
        <v>1.3</v>
      </c>
      <c r="G114" s="139">
        <v>3.3</v>
      </c>
      <c r="H114" s="140"/>
      <c r="I114" s="145">
        <v>110</v>
      </c>
    </row>
    <row r="115" spans="1:9" ht="46.5" x14ac:dyDescent="0.25">
      <c r="A115" s="144" t="s">
        <v>413</v>
      </c>
      <c r="B115" s="144" t="s">
        <v>414</v>
      </c>
      <c r="C115" s="144" t="s">
        <v>548</v>
      </c>
      <c r="D115" s="144">
        <f>Таблица3[[#This Row],[5]]+Таблица3[[#This Row],[4]]+Таблица3[[#This Row],[6]]+Таблица3[[#This Row],[7]]</f>
        <v>0.7</v>
      </c>
      <c r="E115" s="137"/>
      <c r="F115" s="138"/>
      <c r="G115" s="139">
        <v>0.7</v>
      </c>
      <c r="H115" s="140"/>
      <c r="I115" s="145">
        <v>111</v>
      </c>
    </row>
    <row r="116" spans="1:9" ht="46.5" x14ac:dyDescent="0.25">
      <c r="A116" s="144" t="s">
        <v>415</v>
      </c>
      <c r="B116" s="144" t="s">
        <v>416</v>
      </c>
      <c r="C116" s="144" t="s">
        <v>548</v>
      </c>
      <c r="D116" s="144">
        <f>Таблица3[[#This Row],[5]]+Таблица3[[#This Row],[4]]+Таблица3[[#This Row],[6]]+Таблица3[[#This Row],[7]]</f>
        <v>1.7000000000000002</v>
      </c>
      <c r="E116" s="137">
        <v>1.3</v>
      </c>
      <c r="F116" s="138">
        <v>0.4</v>
      </c>
      <c r="G116" s="139"/>
      <c r="H116" s="140"/>
      <c r="I116" s="145">
        <v>112</v>
      </c>
    </row>
    <row r="117" spans="1:9" ht="46.5" x14ac:dyDescent="0.25">
      <c r="A117" s="144" t="s">
        <v>417</v>
      </c>
      <c r="B117" s="144" t="s">
        <v>418</v>
      </c>
      <c r="C117" s="144" t="s">
        <v>548</v>
      </c>
      <c r="D117" s="144">
        <f>Таблица3[[#This Row],[5]]+Таблица3[[#This Row],[4]]+Таблица3[[#This Row],[6]]+Таблица3[[#This Row],[7]]</f>
        <v>0.5</v>
      </c>
      <c r="E117" s="137">
        <v>0.5</v>
      </c>
      <c r="F117" s="138"/>
      <c r="G117" s="139"/>
      <c r="H117" s="140"/>
      <c r="I117" s="145">
        <v>113</v>
      </c>
    </row>
    <row r="118" spans="1:9" ht="46.5" x14ac:dyDescent="0.25">
      <c r="A118" s="144" t="s">
        <v>419</v>
      </c>
      <c r="B118" s="144" t="s">
        <v>420</v>
      </c>
      <c r="C118" s="144" t="s">
        <v>548</v>
      </c>
      <c r="D118" s="144">
        <f>Таблица3[[#This Row],[5]]+Таблица3[[#This Row],[4]]+Таблица3[[#This Row],[6]]+Таблица3[[#This Row],[7]]</f>
        <v>0.7</v>
      </c>
      <c r="E118" s="137">
        <v>0.7</v>
      </c>
      <c r="F118" s="138"/>
      <c r="G118" s="139"/>
      <c r="H118" s="139"/>
      <c r="I118" s="145">
        <v>114</v>
      </c>
    </row>
    <row r="119" spans="1:9" ht="46.5" x14ac:dyDescent="0.25">
      <c r="A119" s="144" t="s">
        <v>421</v>
      </c>
      <c r="B119" s="144" t="s">
        <v>422</v>
      </c>
      <c r="C119" s="144" t="s">
        <v>548</v>
      </c>
      <c r="D119" s="144">
        <f>Таблица3[[#This Row],[5]]+Таблица3[[#This Row],[4]]+Таблица3[[#This Row],[6]]+Таблица3[[#This Row],[7]]</f>
        <v>0.2</v>
      </c>
      <c r="E119" s="137"/>
      <c r="F119" s="138">
        <v>0.2</v>
      </c>
      <c r="G119" s="139"/>
      <c r="H119" s="140"/>
      <c r="I119" s="145">
        <v>115</v>
      </c>
    </row>
    <row r="120" spans="1:9" ht="46.5" x14ac:dyDescent="0.25">
      <c r="A120" s="144" t="s">
        <v>423</v>
      </c>
      <c r="B120" s="144" t="s">
        <v>424</v>
      </c>
      <c r="C120" s="144" t="s">
        <v>548</v>
      </c>
      <c r="D120" s="144">
        <f>Таблица3[[#This Row],[5]]+Таблица3[[#This Row],[4]]+Таблица3[[#This Row],[6]]+Таблица3[[#This Row],[7]]</f>
        <v>0.4</v>
      </c>
      <c r="E120" s="137">
        <v>0.4</v>
      </c>
      <c r="F120" s="138"/>
      <c r="G120" s="139"/>
      <c r="H120" s="140"/>
      <c r="I120" s="145">
        <v>116</v>
      </c>
    </row>
    <row r="121" spans="1:9" ht="46.5" x14ac:dyDescent="0.25">
      <c r="A121" s="144" t="s">
        <v>425</v>
      </c>
      <c r="B121" s="144" t="s">
        <v>426</v>
      </c>
      <c r="C121" s="144" t="s">
        <v>548</v>
      </c>
      <c r="D121" s="144">
        <f>Таблица3[[#This Row],[5]]+Таблица3[[#This Row],[4]]+Таблица3[[#This Row],[6]]+Таблица3[[#This Row],[7]]</f>
        <v>4.5999999999999996</v>
      </c>
      <c r="E121" s="137">
        <v>3</v>
      </c>
      <c r="F121" s="138"/>
      <c r="G121" s="139">
        <v>1.6</v>
      </c>
      <c r="H121" s="140"/>
      <c r="I121" s="145">
        <v>117</v>
      </c>
    </row>
    <row r="122" spans="1:9" ht="46.5" x14ac:dyDescent="0.25">
      <c r="A122" s="144" t="s">
        <v>427</v>
      </c>
      <c r="B122" s="144" t="s">
        <v>428</v>
      </c>
      <c r="C122" s="144" t="s">
        <v>548</v>
      </c>
      <c r="D122" s="144">
        <f>Таблица3[[#This Row],[5]]+Таблица3[[#This Row],[4]]+Таблица3[[#This Row],[6]]+Таблица3[[#This Row],[7]]</f>
        <v>0.9</v>
      </c>
      <c r="E122" s="137">
        <v>0.9</v>
      </c>
      <c r="F122" s="138">
        <v>0</v>
      </c>
      <c r="G122" s="139"/>
      <c r="H122" s="140"/>
      <c r="I122" s="145">
        <v>118</v>
      </c>
    </row>
    <row r="123" spans="1:9" ht="46.5" x14ac:dyDescent="0.25">
      <c r="A123" s="144" t="s">
        <v>429</v>
      </c>
      <c r="B123" s="144" t="s">
        <v>430</v>
      </c>
      <c r="C123" s="144" t="s">
        <v>548</v>
      </c>
      <c r="D123" s="144">
        <f>Таблица3[[#This Row],[5]]+Таблица3[[#This Row],[4]]+Таблица3[[#This Row],[6]]+Таблица3[[#This Row],[7]]</f>
        <v>0.3</v>
      </c>
      <c r="E123" s="137"/>
      <c r="F123" s="138"/>
      <c r="G123" s="139">
        <v>0.3</v>
      </c>
      <c r="H123" s="140"/>
      <c r="I123" s="145">
        <v>119</v>
      </c>
    </row>
    <row r="124" spans="1:9" ht="46.5" x14ac:dyDescent="0.25">
      <c r="A124" s="144" t="s">
        <v>431</v>
      </c>
      <c r="B124" s="144" t="s">
        <v>432</v>
      </c>
      <c r="C124" s="144" t="s">
        <v>548</v>
      </c>
      <c r="D124" s="144">
        <f>Таблица3[[#This Row],[5]]+Таблица3[[#This Row],[4]]+Таблица3[[#This Row],[6]]+Таблица3[[#This Row],[7]]</f>
        <v>0.5</v>
      </c>
      <c r="E124" s="137">
        <v>0.5</v>
      </c>
      <c r="F124" s="138"/>
      <c r="G124" s="139"/>
      <c r="H124" s="140"/>
      <c r="I124" s="145">
        <v>120</v>
      </c>
    </row>
    <row r="125" spans="1:9" ht="46.5" x14ac:dyDescent="0.25">
      <c r="A125" s="144" t="s">
        <v>433</v>
      </c>
      <c r="B125" s="144" t="s">
        <v>434</v>
      </c>
      <c r="C125" s="144" t="s">
        <v>549</v>
      </c>
      <c r="D125" s="144">
        <f>Таблица3[[#This Row],[5]]+Таблица3[[#This Row],[4]]+Таблица3[[#This Row],[6]]+Таблица3[[#This Row],[7]]</f>
        <v>6.5</v>
      </c>
      <c r="E125" s="137"/>
      <c r="F125" s="138"/>
      <c r="G125" s="139">
        <v>6.5</v>
      </c>
      <c r="H125" s="140"/>
      <c r="I125" s="145">
        <v>121</v>
      </c>
    </row>
    <row r="126" spans="1:9" ht="46.5" x14ac:dyDescent="0.25">
      <c r="A126" s="144" t="s">
        <v>435</v>
      </c>
      <c r="B126" s="144" t="s">
        <v>436</v>
      </c>
      <c r="C126" s="144" t="s">
        <v>549</v>
      </c>
      <c r="D126" s="144">
        <f>Таблица3[[#This Row],[5]]+Таблица3[[#This Row],[4]]+Таблица3[[#This Row],[6]]+Таблица3[[#This Row],[7]]</f>
        <v>2</v>
      </c>
      <c r="E126" s="137">
        <v>2</v>
      </c>
      <c r="F126" s="138"/>
      <c r="G126" s="139"/>
      <c r="H126" s="140"/>
      <c r="I126" s="145">
        <v>122</v>
      </c>
    </row>
    <row r="127" spans="1:9" ht="46.5" x14ac:dyDescent="0.25">
      <c r="A127" s="144" t="s">
        <v>437</v>
      </c>
      <c r="B127" s="144" t="s">
        <v>438</v>
      </c>
      <c r="C127" s="144" t="s">
        <v>549</v>
      </c>
      <c r="D127" s="144">
        <f>Таблица3[[#This Row],[5]]+Таблица3[[#This Row],[4]]+Таблица3[[#This Row],[6]]+Таблица3[[#This Row],[7]]</f>
        <v>1</v>
      </c>
      <c r="E127" s="137">
        <v>1</v>
      </c>
      <c r="F127" s="138"/>
      <c r="G127" s="139"/>
      <c r="H127" s="140"/>
      <c r="I127" s="145">
        <v>123</v>
      </c>
    </row>
    <row r="128" spans="1:9" ht="46.5" x14ac:dyDescent="0.25">
      <c r="A128" s="144" t="s">
        <v>439</v>
      </c>
      <c r="B128" s="144" t="s">
        <v>440</v>
      </c>
      <c r="C128" s="144" t="s">
        <v>549</v>
      </c>
      <c r="D128" s="144">
        <f>Таблица3[[#This Row],[5]]+Таблица3[[#This Row],[4]]+Таблица3[[#This Row],[6]]+Таблица3[[#This Row],[7]]</f>
        <v>1</v>
      </c>
      <c r="E128" s="137">
        <v>1</v>
      </c>
      <c r="F128" s="138"/>
      <c r="G128" s="139"/>
      <c r="H128" s="140"/>
      <c r="I128" s="145">
        <v>124</v>
      </c>
    </row>
    <row r="129" spans="1:9" ht="46.5" x14ac:dyDescent="0.25">
      <c r="A129" s="144" t="s">
        <v>441</v>
      </c>
      <c r="B129" s="144" t="s">
        <v>442</v>
      </c>
      <c r="C129" s="144" t="s">
        <v>549</v>
      </c>
      <c r="D129" s="144">
        <f>Таблица3[[#This Row],[5]]+Таблица3[[#This Row],[4]]+Таблица3[[#This Row],[6]]+Таблица3[[#This Row],[7]]</f>
        <v>0.6</v>
      </c>
      <c r="E129" s="137">
        <v>0.6</v>
      </c>
      <c r="F129" s="138"/>
      <c r="G129" s="139"/>
      <c r="H129" s="140"/>
      <c r="I129" s="145">
        <v>125</v>
      </c>
    </row>
    <row r="130" spans="1:9" ht="46.5" x14ac:dyDescent="0.25">
      <c r="A130" s="144" t="s">
        <v>443</v>
      </c>
      <c r="B130" s="144" t="s">
        <v>444</v>
      </c>
      <c r="C130" s="144" t="s">
        <v>549</v>
      </c>
      <c r="D130" s="144">
        <f>Таблица3[[#This Row],[5]]+Таблица3[[#This Row],[4]]+Таблица3[[#This Row],[6]]+Таблица3[[#This Row],[7]]</f>
        <v>1</v>
      </c>
      <c r="E130" s="137">
        <v>1</v>
      </c>
      <c r="F130" s="138"/>
      <c r="G130" s="139"/>
      <c r="H130" s="140"/>
      <c r="I130" s="145">
        <v>126</v>
      </c>
    </row>
    <row r="131" spans="1:9" ht="46.5" x14ac:dyDescent="0.25">
      <c r="A131" s="144" t="s">
        <v>445</v>
      </c>
      <c r="B131" s="144" t="s">
        <v>446</v>
      </c>
      <c r="C131" s="144" t="s">
        <v>549</v>
      </c>
      <c r="D131" s="144">
        <f>Таблица3[[#This Row],[5]]+Таблица3[[#This Row],[4]]+Таблица3[[#This Row],[6]]+Таблица3[[#This Row],[7]]</f>
        <v>0.5</v>
      </c>
      <c r="E131" s="137">
        <v>0.5</v>
      </c>
      <c r="F131" s="138"/>
      <c r="G131" s="139"/>
      <c r="H131" s="140"/>
      <c r="I131" s="145">
        <v>127</v>
      </c>
    </row>
    <row r="132" spans="1:9" ht="46.5" x14ac:dyDescent="0.25">
      <c r="A132" s="144" t="s">
        <v>447</v>
      </c>
      <c r="B132" s="144" t="s">
        <v>448</v>
      </c>
      <c r="C132" s="144" t="s">
        <v>549</v>
      </c>
      <c r="D132" s="144">
        <f>Таблица3[[#This Row],[5]]+Таблица3[[#This Row],[4]]+Таблица3[[#This Row],[6]]+Таблица3[[#This Row],[7]]</f>
        <v>3</v>
      </c>
      <c r="E132" s="137">
        <v>2</v>
      </c>
      <c r="F132" s="138"/>
      <c r="G132" s="139">
        <v>1</v>
      </c>
      <c r="H132" s="140"/>
      <c r="I132" s="145">
        <v>128</v>
      </c>
    </row>
    <row r="133" spans="1:9" ht="46.5" x14ac:dyDescent="0.25">
      <c r="A133" s="144" t="s">
        <v>449</v>
      </c>
      <c r="B133" s="144" t="s">
        <v>450</v>
      </c>
      <c r="C133" s="144" t="s">
        <v>550</v>
      </c>
      <c r="D133" s="144">
        <f>Таблица3[[#This Row],[5]]+Таблица3[[#This Row],[4]]+Таблица3[[#This Row],[6]]+Таблица3[[#This Row],[7]]</f>
        <v>7.5</v>
      </c>
      <c r="E133" s="137">
        <v>6.85</v>
      </c>
      <c r="F133" s="138"/>
      <c r="G133" s="139">
        <v>0.65</v>
      </c>
      <c r="H133" s="140"/>
      <c r="I133" s="145">
        <v>129</v>
      </c>
    </row>
    <row r="134" spans="1:9" ht="46.5" x14ac:dyDescent="0.25">
      <c r="A134" s="144" t="s">
        <v>451</v>
      </c>
      <c r="B134" s="144" t="s">
        <v>452</v>
      </c>
      <c r="C134" s="144" t="s">
        <v>550</v>
      </c>
      <c r="D134" s="144">
        <f>Таблица3[[#This Row],[5]]+Таблица3[[#This Row],[4]]+Таблица3[[#This Row],[6]]+Таблица3[[#This Row],[7]]</f>
        <v>1.65</v>
      </c>
      <c r="E134" s="137">
        <v>1.65</v>
      </c>
      <c r="F134" s="138"/>
      <c r="G134" s="139"/>
      <c r="H134" s="140"/>
      <c r="I134" s="145">
        <v>130</v>
      </c>
    </row>
    <row r="135" spans="1:9" ht="46.5" x14ac:dyDescent="0.25">
      <c r="A135" s="144" t="s">
        <v>453</v>
      </c>
      <c r="B135" s="144" t="s">
        <v>454</v>
      </c>
      <c r="C135" s="144" t="s">
        <v>550</v>
      </c>
      <c r="D135" s="144">
        <f>Таблица3[[#This Row],[5]]+Таблица3[[#This Row],[4]]+Таблица3[[#This Row],[6]]+Таблица3[[#This Row],[7]]</f>
        <v>1.7</v>
      </c>
      <c r="E135" s="137"/>
      <c r="F135" s="138">
        <v>1.7</v>
      </c>
      <c r="G135" s="139"/>
      <c r="H135" s="140"/>
      <c r="I135" s="145">
        <v>131</v>
      </c>
    </row>
    <row r="136" spans="1:9" ht="46.5" x14ac:dyDescent="0.25">
      <c r="A136" s="144" t="s">
        <v>455</v>
      </c>
      <c r="B136" s="144" t="s">
        <v>456</v>
      </c>
      <c r="C136" s="144" t="s">
        <v>550</v>
      </c>
      <c r="D136" s="144">
        <f>Таблица3[[#This Row],[5]]+Таблица3[[#This Row],[4]]+Таблица3[[#This Row],[6]]+Таблица3[[#This Row],[7]]</f>
        <v>1.25</v>
      </c>
      <c r="E136" s="137">
        <v>1.25</v>
      </c>
      <c r="F136" s="138"/>
      <c r="G136" s="139"/>
      <c r="H136" s="140"/>
      <c r="I136" s="145">
        <v>132</v>
      </c>
    </row>
    <row r="137" spans="1:9" ht="46.5" x14ac:dyDescent="0.25">
      <c r="A137" s="144" t="s">
        <v>457</v>
      </c>
      <c r="B137" s="144" t="s">
        <v>458</v>
      </c>
      <c r="C137" s="144" t="s">
        <v>551</v>
      </c>
      <c r="D137" s="144">
        <f>Таблица3[[#This Row],[5]]+Таблица3[[#This Row],[4]]+Таблица3[[#This Row],[6]]+Таблица3[[#This Row],[7]]</f>
        <v>5.0999999999999996</v>
      </c>
      <c r="E137" s="137">
        <v>0.4</v>
      </c>
      <c r="F137" s="138">
        <v>3</v>
      </c>
      <c r="G137" s="139">
        <v>1.7</v>
      </c>
      <c r="H137" s="140"/>
      <c r="I137" s="145">
        <v>133</v>
      </c>
    </row>
    <row r="138" spans="1:9" ht="46.5" x14ac:dyDescent="0.25">
      <c r="A138" s="144" t="s">
        <v>459</v>
      </c>
      <c r="B138" s="144" t="s">
        <v>460</v>
      </c>
      <c r="C138" s="144" t="s">
        <v>551</v>
      </c>
      <c r="D138" s="144">
        <f>Таблица3[[#This Row],[5]]+Таблица3[[#This Row],[4]]+Таблица3[[#This Row],[6]]+Таблица3[[#This Row],[7]]</f>
        <v>2.5</v>
      </c>
      <c r="E138" s="137">
        <v>1.8</v>
      </c>
      <c r="F138" s="138">
        <v>0.7</v>
      </c>
      <c r="G138" s="139"/>
      <c r="H138" s="140"/>
      <c r="I138" s="145">
        <v>134</v>
      </c>
    </row>
    <row r="139" spans="1:9" ht="46.5" x14ac:dyDescent="0.25">
      <c r="A139" s="144" t="s">
        <v>461</v>
      </c>
      <c r="B139" s="144" t="s">
        <v>462</v>
      </c>
      <c r="C139" s="144" t="s">
        <v>551</v>
      </c>
      <c r="D139" s="144">
        <f>Таблица3[[#This Row],[5]]+Таблица3[[#This Row],[4]]+Таблица3[[#This Row],[6]]+Таблица3[[#This Row],[7]]</f>
        <v>0.7</v>
      </c>
      <c r="E139" s="137">
        <v>0.7</v>
      </c>
      <c r="F139" s="138"/>
      <c r="G139" s="139"/>
      <c r="H139" s="140"/>
      <c r="I139" s="145">
        <v>135</v>
      </c>
    </row>
    <row r="140" spans="1:9" ht="46.5" x14ac:dyDescent="0.25">
      <c r="A140" s="144" t="s">
        <v>463</v>
      </c>
      <c r="B140" s="144" t="s">
        <v>464</v>
      </c>
      <c r="C140" s="144" t="s">
        <v>551</v>
      </c>
      <c r="D140" s="144">
        <f>Таблица3[[#This Row],[5]]+Таблица3[[#This Row],[4]]+Таблица3[[#This Row],[6]]+Таблица3[[#This Row],[7]]</f>
        <v>1.7</v>
      </c>
      <c r="E140" s="137">
        <v>1.7</v>
      </c>
      <c r="F140" s="138"/>
      <c r="G140" s="139"/>
      <c r="H140" s="140"/>
      <c r="I140" s="145">
        <v>136</v>
      </c>
    </row>
    <row r="141" spans="1:9" ht="46.5" x14ac:dyDescent="0.25">
      <c r="A141" s="144" t="s">
        <v>465</v>
      </c>
      <c r="B141" s="144" t="s">
        <v>466</v>
      </c>
      <c r="C141" s="144" t="s">
        <v>551</v>
      </c>
      <c r="D141" s="144">
        <f>Таблица3[[#This Row],[5]]+Таблица3[[#This Row],[4]]+Таблица3[[#This Row],[6]]+Таблица3[[#This Row],[7]]</f>
        <v>2.5</v>
      </c>
      <c r="E141" s="137"/>
      <c r="F141" s="138">
        <v>2.5</v>
      </c>
      <c r="G141" s="139"/>
      <c r="H141" s="140"/>
      <c r="I141" s="145">
        <v>137</v>
      </c>
    </row>
    <row r="142" spans="1:9" ht="46.5" x14ac:dyDescent="0.25">
      <c r="A142" s="144" t="s">
        <v>467</v>
      </c>
      <c r="B142" s="144" t="s">
        <v>468</v>
      </c>
      <c r="C142" s="144" t="s">
        <v>551</v>
      </c>
      <c r="D142" s="144">
        <f>Таблица3[[#This Row],[5]]+Таблица3[[#This Row],[4]]+Таблица3[[#This Row],[6]]+Таблица3[[#This Row],[7]]</f>
        <v>0.5</v>
      </c>
      <c r="E142" s="137">
        <v>0.5</v>
      </c>
      <c r="F142" s="138"/>
      <c r="G142" s="139"/>
      <c r="H142" s="140"/>
      <c r="I142" s="145">
        <v>138</v>
      </c>
    </row>
    <row r="143" spans="1:9" ht="46.5" x14ac:dyDescent="0.25">
      <c r="A143" s="144" t="s">
        <v>469</v>
      </c>
      <c r="B143" s="144" t="s">
        <v>470</v>
      </c>
      <c r="C143" s="144" t="s">
        <v>551</v>
      </c>
      <c r="D143" s="144">
        <f>Таблица3[[#This Row],[5]]+Таблица3[[#This Row],[4]]+Таблица3[[#This Row],[6]]+Таблица3[[#This Row],[7]]</f>
        <v>0.6</v>
      </c>
      <c r="E143" s="137">
        <v>0.6</v>
      </c>
      <c r="F143" s="138"/>
      <c r="G143" s="139"/>
      <c r="H143" s="140"/>
      <c r="I143" s="145">
        <v>139</v>
      </c>
    </row>
    <row r="144" spans="1:9" ht="46.5" x14ac:dyDescent="0.25">
      <c r="A144" s="144" t="s">
        <v>471</v>
      </c>
      <c r="B144" s="144" t="s">
        <v>472</v>
      </c>
      <c r="C144" s="144" t="s">
        <v>551</v>
      </c>
      <c r="D144" s="144">
        <f>Таблица3[[#This Row],[5]]+Таблица3[[#This Row],[4]]+Таблица3[[#This Row],[6]]+Таблица3[[#This Row],[7]]</f>
        <v>0.82</v>
      </c>
      <c r="E144" s="137"/>
      <c r="F144" s="138">
        <v>0.82</v>
      </c>
      <c r="G144" s="139"/>
      <c r="H144" s="140"/>
      <c r="I144" s="145">
        <v>140</v>
      </c>
    </row>
    <row r="145" spans="1:9" ht="46.5" x14ac:dyDescent="0.25">
      <c r="A145" s="144" t="s">
        <v>473</v>
      </c>
      <c r="B145" s="144" t="s">
        <v>474</v>
      </c>
      <c r="C145" s="144" t="s">
        <v>552</v>
      </c>
      <c r="D145" s="144">
        <f>Таблица3[[#This Row],[5]]+Таблица3[[#This Row],[4]]+Таблица3[[#This Row],[6]]+Таблица3[[#This Row],[7]]</f>
        <v>1.3</v>
      </c>
      <c r="E145" s="137"/>
      <c r="F145" s="138"/>
      <c r="G145" s="139">
        <v>1.3</v>
      </c>
      <c r="H145" s="140"/>
      <c r="I145" s="145">
        <v>141</v>
      </c>
    </row>
    <row r="146" spans="1:9" ht="46.5" x14ac:dyDescent="0.25">
      <c r="A146" s="144" t="s">
        <v>475</v>
      </c>
      <c r="B146" s="144" t="s">
        <v>476</v>
      </c>
      <c r="C146" s="144" t="s">
        <v>552</v>
      </c>
      <c r="D146" s="144">
        <f>Таблица3[[#This Row],[5]]+Таблица3[[#This Row],[4]]+Таблица3[[#This Row],[6]]+Таблица3[[#This Row],[7]]</f>
        <v>0.8</v>
      </c>
      <c r="E146" s="137"/>
      <c r="F146" s="138">
        <v>0.8</v>
      </c>
      <c r="G146" s="139"/>
      <c r="H146" s="140"/>
      <c r="I146" s="145">
        <v>142</v>
      </c>
    </row>
    <row r="147" spans="1:9" ht="69.75" x14ac:dyDescent="0.25">
      <c r="A147" s="144" t="s">
        <v>477</v>
      </c>
      <c r="B147" s="144" t="s">
        <v>478</v>
      </c>
      <c r="C147" s="144" t="s">
        <v>552</v>
      </c>
      <c r="D147" s="144">
        <f>Таблица3[[#This Row],[5]]+Таблица3[[#This Row],[4]]+Таблица3[[#This Row],[6]]+Таблица3[[#This Row],[7]]</f>
        <v>1.6</v>
      </c>
      <c r="E147" s="137"/>
      <c r="F147" s="138"/>
      <c r="G147" s="139">
        <v>1.6</v>
      </c>
      <c r="H147" s="140"/>
      <c r="I147" s="145">
        <v>143</v>
      </c>
    </row>
    <row r="148" spans="1:9" ht="69.75" x14ac:dyDescent="0.25">
      <c r="A148" s="144" t="s">
        <v>479</v>
      </c>
      <c r="B148" s="144" t="s">
        <v>480</v>
      </c>
      <c r="C148" s="144" t="s">
        <v>552</v>
      </c>
      <c r="D148" s="144">
        <f>Таблица3[[#This Row],[5]]+Таблица3[[#This Row],[4]]+Таблица3[[#This Row],[6]]+Таблица3[[#This Row],[7]]</f>
        <v>1.4</v>
      </c>
      <c r="E148" s="137"/>
      <c r="F148" s="138"/>
      <c r="G148" s="139">
        <v>1.4</v>
      </c>
      <c r="H148" s="140"/>
      <c r="I148" s="145">
        <v>144</v>
      </c>
    </row>
    <row r="149" spans="1:9" ht="69.75" x14ac:dyDescent="0.25">
      <c r="A149" s="144" t="s">
        <v>481</v>
      </c>
      <c r="B149" s="144" t="s">
        <v>482</v>
      </c>
      <c r="C149" s="144" t="s">
        <v>552</v>
      </c>
      <c r="D149" s="144">
        <f>Таблица3[[#This Row],[5]]+Таблица3[[#This Row],[4]]+Таблица3[[#This Row],[6]]+Таблица3[[#This Row],[7]]</f>
        <v>0.3</v>
      </c>
      <c r="E149" s="137"/>
      <c r="F149" s="138">
        <v>0.3</v>
      </c>
      <c r="G149" s="139"/>
      <c r="H149" s="140"/>
      <c r="I149" s="145">
        <v>145</v>
      </c>
    </row>
    <row r="150" spans="1:9" ht="69.75" x14ac:dyDescent="0.25">
      <c r="A150" s="144" t="s">
        <v>483</v>
      </c>
      <c r="B150" s="144" t="s">
        <v>484</v>
      </c>
      <c r="C150" s="144" t="s">
        <v>552</v>
      </c>
      <c r="D150" s="144">
        <f>Таблица3[[#This Row],[5]]+Таблица3[[#This Row],[4]]+Таблица3[[#This Row],[6]]+Таблица3[[#This Row],[7]]</f>
        <v>1.9000000000000001</v>
      </c>
      <c r="E150" s="137">
        <v>1.2</v>
      </c>
      <c r="F150" s="138">
        <v>0.4</v>
      </c>
      <c r="G150" s="139">
        <v>0.3</v>
      </c>
      <c r="H150" s="140"/>
      <c r="I150" s="145">
        <v>146</v>
      </c>
    </row>
    <row r="151" spans="1:9" ht="69.75" x14ac:dyDescent="0.25">
      <c r="A151" s="144" t="s">
        <v>485</v>
      </c>
      <c r="B151" s="144" t="s">
        <v>486</v>
      </c>
      <c r="C151" s="144" t="s">
        <v>552</v>
      </c>
      <c r="D151" s="144">
        <f>Таблица3[[#This Row],[5]]+Таблица3[[#This Row],[4]]+Таблица3[[#This Row],[6]]+Таблица3[[#This Row],[7]]</f>
        <v>0.9</v>
      </c>
      <c r="E151" s="137"/>
      <c r="F151" s="138">
        <v>0.9</v>
      </c>
      <c r="G151" s="139"/>
      <c r="H151" s="140"/>
      <c r="I151" s="145">
        <v>147</v>
      </c>
    </row>
    <row r="152" spans="1:9" ht="69.75" x14ac:dyDescent="0.25">
      <c r="A152" s="144" t="s">
        <v>487</v>
      </c>
      <c r="B152" s="144" t="s">
        <v>488</v>
      </c>
      <c r="C152" s="144" t="s">
        <v>552</v>
      </c>
      <c r="D152" s="144">
        <f>Таблица3[[#This Row],[5]]+Таблица3[[#This Row],[4]]+Таблица3[[#This Row],[6]]+Таблица3[[#This Row],[7]]</f>
        <v>2</v>
      </c>
      <c r="E152" s="137"/>
      <c r="F152" s="138"/>
      <c r="G152" s="139">
        <v>2</v>
      </c>
      <c r="H152" s="140"/>
      <c r="I152" s="145">
        <v>148</v>
      </c>
    </row>
    <row r="153" spans="1:9" ht="69.75" x14ac:dyDescent="0.25">
      <c r="A153" s="144" t="s">
        <v>489</v>
      </c>
      <c r="B153" s="144" t="s">
        <v>490</v>
      </c>
      <c r="C153" s="144" t="s">
        <v>552</v>
      </c>
      <c r="D153" s="144">
        <f>Таблица3[[#This Row],[5]]+Таблица3[[#This Row],[4]]+Таблица3[[#This Row],[6]]+Таблица3[[#This Row],[7]]</f>
        <v>0.6</v>
      </c>
      <c r="E153" s="137"/>
      <c r="F153" s="138">
        <v>0</v>
      </c>
      <c r="G153" s="139">
        <v>0.6</v>
      </c>
      <c r="H153" s="140"/>
      <c r="I153" s="145">
        <v>149</v>
      </c>
    </row>
    <row r="154" spans="1:9" ht="69.75" x14ac:dyDescent="0.25">
      <c r="A154" s="144" t="s">
        <v>491</v>
      </c>
      <c r="B154" s="144" t="s">
        <v>492</v>
      </c>
      <c r="C154" s="144" t="s">
        <v>552</v>
      </c>
      <c r="D154" s="144">
        <f>Таблица3[[#This Row],[5]]+Таблица3[[#This Row],[4]]+Таблица3[[#This Row],[6]]+Таблица3[[#This Row],[7]]</f>
        <v>0.60000000000000009</v>
      </c>
      <c r="E154" s="137"/>
      <c r="F154" s="138">
        <v>0.2</v>
      </c>
      <c r="G154" s="139">
        <v>0.4</v>
      </c>
      <c r="H154" s="140"/>
      <c r="I154" s="145">
        <v>150</v>
      </c>
    </row>
    <row r="155" spans="1:9" ht="69.75" x14ac:dyDescent="0.25">
      <c r="A155" s="144" t="s">
        <v>493</v>
      </c>
      <c r="B155" s="144" t="s">
        <v>494</v>
      </c>
      <c r="C155" s="144" t="s">
        <v>552</v>
      </c>
      <c r="D155" s="144">
        <f>Таблица3[[#This Row],[5]]+Таблица3[[#This Row],[4]]+Таблица3[[#This Row],[6]]+Таблица3[[#This Row],[7]]</f>
        <v>1.2</v>
      </c>
      <c r="E155" s="137"/>
      <c r="F155" s="138"/>
      <c r="G155" s="139">
        <v>1.2</v>
      </c>
      <c r="H155" s="140"/>
      <c r="I155" s="145">
        <v>151</v>
      </c>
    </row>
    <row r="156" spans="1:9" ht="69.75" x14ac:dyDescent="0.25">
      <c r="A156" s="144" t="s">
        <v>495</v>
      </c>
      <c r="B156" s="144" t="s">
        <v>496</v>
      </c>
      <c r="C156" s="144" t="s">
        <v>552</v>
      </c>
      <c r="D156" s="144">
        <f>Таблица3[[#This Row],[5]]+Таблица3[[#This Row],[4]]+Таблица3[[#This Row],[6]]+Таблица3[[#This Row],[7]]</f>
        <v>0.77</v>
      </c>
      <c r="E156" s="137"/>
      <c r="F156" s="138">
        <v>0.5</v>
      </c>
      <c r="G156" s="139">
        <v>0.27</v>
      </c>
      <c r="H156" s="140"/>
      <c r="I156" s="145">
        <v>152</v>
      </c>
    </row>
    <row r="157" spans="1:9" ht="69.75" x14ac:dyDescent="0.25">
      <c r="A157" s="144" t="s">
        <v>497</v>
      </c>
      <c r="B157" s="144" t="s">
        <v>498</v>
      </c>
      <c r="C157" s="144" t="s">
        <v>552</v>
      </c>
      <c r="D157" s="144">
        <f>Таблица3[[#This Row],[5]]+Таблица3[[#This Row],[4]]+Таблица3[[#This Row],[6]]+Таблица3[[#This Row],[7]]</f>
        <v>0.6</v>
      </c>
      <c r="E157" s="137">
        <v>0.21</v>
      </c>
      <c r="F157" s="138">
        <v>0.39</v>
      </c>
      <c r="G157" s="139"/>
      <c r="H157" s="140"/>
      <c r="I157" s="145">
        <v>153</v>
      </c>
    </row>
    <row r="158" spans="1:9" ht="69.75" x14ac:dyDescent="0.25">
      <c r="A158" s="144" t="s">
        <v>499</v>
      </c>
      <c r="B158" s="144" t="s">
        <v>500</v>
      </c>
      <c r="C158" s="144" t="s">
        <v>552</v>
      </c>
      <c r="D158" s="144">
        <f>Таблица3[[#This Row],[5]]+Таблица3[[#This Row],[4]]+Таблица3[[#This Row],[6]]+Таблица3[[#This Row],[7]]</f>
        <v>0.499</v>
      </c>
      <c r="E158" s="137"/>
      <c r="F158" s="138">
        <v>0.499</v>
      </c>
      <c r="G158" s="139"/>
      <c r="H158" s="140"/>
      <c r="I158" s="145">
        <v>154</v>
      </c>
    </row>
    <row r="159" spans="1:9" ht="69.75" x14ac:dyDescent="0.25">
      <c r="A159" s="144" t="s">
        <v>501</v>
      </c>
      <c r="B159" s="144" t="s">
        <v>502</v>
      </c>
      <c r="C159" s="144" t="s">
        <v>552</v>
      </c>
      <c r="D159" s="144">
        <f>Таблица3[[#This Row],[5]]+Таблица3[[#This Row],[4]]+Таблица3[[#This Row],[6]]+Таблица3[[#This Row],[7]]</f>
        <v>0.66700000000000004</v>
      </c>
      <c r="E159" s="137"/>
      <c r="F159" s="138">
        <v>0.66700000000000004</v>
      </c>
      <c r="G159" s="139"/>
      <c r="H159" s="140"/>
      <c r="I159" s="145">
        <v>155</v>
      </c>
    </row>
    <row r="160" spans="1:9" ht="69.75" x14ac:dyDescent="0.25">
      <c r="A160" s="144" t="s">
        <v>503</v>
      </c>
      <c r="B160" s="144" t="s">
        <v>504</v>
      </c>
      <c r="C160" s="144" t="s">
        <v>552</v>
      </c>
      <c r="D160" s="144">
        <f>Таблица3[[#This Row],[5]]+Таблица3[[#This Row],[4]]+Таблица3[[#This Row],[6]]+Таблица3[[#This Row],[7]]</f>
        <v>0.7</v>
      </c>
      <c r="E160" s="137"/>
      <c r="F160" s="138">
        <v>0.7</v>
      </c>
      <c r="G160" s="139"/>
      <c r="H160" s="140"/>
      <c r="I160" s="145">
        <v>156</v>
      </c>
    </row>
    <row r="161" spans="1:9" ht="69.75" x14ac:dyDescent="0.25">
      <c r="A161" s="144" t="s">
        <v>505</v>
      </c>
      <c r="B161" s="144" t="s">
        <v>506</v>
      </c>
      <c r="C161" s="144" t="s">
        <v>552</v>
      </c>
      <c r="D161" s="144">
        <f>Таблица3[[#This Row],[5]]+Таблица3[[#This Row],[4]]+Таблица3[[#This Row],[6]]+Таблица3[[#This Row],[7]]</f>
        <v>0.7</v>
      </c>
      <c r="E161" s="137"/>
      <c r="F161" s="138">
        <v>0.7</v>
      </c>
      <c r="G161" s="139"/>
      <c r="H161" s="140"/>
      <c r="I161" s="145">
        <v>157</v>
      </c>
    </row>
    <row r="162" spans="1:9" ht="69.75" x14ac:dyDescent="0.25">
      <c r="A162" s="144" t="s">
        <v>507</v>
      </c>
      <c r="B162" s="144" t="s">
        <v>508</v>
      </c>
      <c r="C162" s="144" t="s">
        <v>552</v>
      </c>
      <c r="D162" s="144">
        <f>Таблица3[[#This Row],[5]]+Таблица3[[#This Row],[4]]+Таблица3[[#This Row],[6]]+Таблица3[[#This Row],[7]]</f>
        <v>0.92600000000000005</v>
      </c>
      <c r="E162" s="137"/>
      <c r="F162" s="141">
        <v>0.92600000000000005</v>
      </c>
      <c r="G162" s="139"/>
      <c r="H162" s="140"/>
      <c r="I162" s="145">
        <v>158</v>
      </c>
    </row>
    <row r="163" spans="1:9" ht="69.75" x14ac:dyDescent="0.25">
      <c r="A163" s="144" t="s">
        <v>509</v>
      </c>
      <c r="B163" s="144" t="s">
        <v>510</v>
      </c>
      <c r="C163" s="144" t="s">
        <v>552</v>
      </c>
      <c r="D163" s="144">
        <f>Таблица3[[#This Row],[5]]+Таблица3[[#This Row],[4]]+Таблица3[[#This Row],[6]]+Таблица3[[#This Row],[7]]</f>
        <v>0.8</v>
      </c>
      <c r="E163" s="137">
        <v>0.8</v>
      </c>
      <c r="F163" s="138"/>
      <c r="G163" s="139"/>
      <c r="H163" s="140"/>
      <c r="I163" s="145">
        <v>159</v>
      </c>
    </row>
    <row r="164" spans="1:9" ht="69.75" x14ac:dyDescent="0.25">
      <c r="A164" s="144" t="s">
        <v>511</v>
      </c>
      <c r="B164" s="144" t="s">
        <v>512</v>
      </c>
      <c r="C164" s="144" t="s">
        <v>552</v>
      </c>
      <c r="D164" s="144">
        <f>Таблица3[[#This Row],[5]]+Таблица3[[#This Row],[4]]+Таблица3[[#This Row],[6]]+Таблица3[[#This Row],[7]]</f>
        <v>1.4</v>
      </c>
      <c r="E164" s="137"/>
      <c r="F164" s="138">
        <v>1.4</v>
      </c>
      <c r="G164" s="139"/>
      <c r="H164" s="140"/>
      <c r="I164" s="145">
        <v>160</v>
      </c>
    </row>
    <row r="165" spans="1:9" ht="69.75" x14ac:dyDescent="0.25">
      <c r="A165" s="144" t="s">
        <v>513</v>
      </c>
      <c r="B165" s="144" t="s">
        <v>514</v>
      </c>
      <c r="C165" s="144" t="s">
        <v>552</v>
      </c>
      <c r="D165" s="144">
        <f>Таблица3[[#This Row],[5]]+Таблица3[[#This Row],[4]]+Таблица3[[#This Row],[6]]+Таблица3[[#This Row],[7]]</f>
        <v>1</v>
      </c>
      <c r="E165" s="137"/>
      <c r="F165" s="138">
        <v>1</v>
      </c>
      <c r="G165" s="139"/>
      <c r="H165" s="140"/>
      <c r="I165" s="145">
        <v>161</v>
      </c>
    </row>
    <row r="166" spans="1:9" ht="69.75" x14ac:dyDescent="0.25">
      <c r="A166" s="144" t="s">
        <v>515</v>
      </c>
      <c r="B166" s="144" t="s">
        <v>516</v>
      </c>
      <c r="C166" s="144" t="s">
        <v>552</v>
      </c>
      <c r="D166" s="144">
        <f>Таблица3[[#This Row],[5]]+Таблица3[[#This Row],[4]]+Таблица3[[#This Row],[6]]+Таблица3[[#This Row],[7]]</f>
        <v>0.75</v>
      </c>
      <c r="E166" s="137"/>
      <c r="F166" s="138"/>
      <c r="G166" s="139">
        <v>0.75</v>
      </c>
      <c r="H166" s="140"/>
      <c r="I166" s="145">
        <v>162</v>
      </c>
    </row>
    <row r="167" spans="1:9" ht="69.75" x14ac:dyDescent="0.25">
      <c r="A167" s="144" t="s">
        <v>517</v>
      </c>
      <c r="B167" s="144" t="s">
        <v>518</v>
      </c>
      <c r="C167" s="144" t="s">
        <v>552</v>
      </c>
      <c r="D167" s="144">
        <f>Таблица3[[#This Row],[5]]+Таблица3[[#This Row],[4]]+Таблица3[[#This Row],[6]]+Таблица3[[#This Row],[7]]</f>
        <v>0.3</v>
      </c>
      <c r="E167" s="137">
        <v>0.3</v>
      </c>
      <c r="F167" s="138"/>
      <c r="G167" s="139"/>
      <c r="H167" s="140"/>
      <c r="I167" s="145">
        <v>163</v>
      </c>
    </row>
    <row r="168" spans="1:9" ht="69.75" x14ac:dyDescent="0.25">
      <c r="A168" s="144" t="s">
        <v>519</v>
      </c>
      <c r="B168" s="144" t="s">
        <v>520</v>
      </c>
      <c r="C168" s="144" t="s">
        <v>552</v>
      </c>
      <c r="D168" s="144">
        <f>Таблица3[[#This Row],[5]]+Таблица3[[#This Row],[4]]+Таблица3[[#This Row],[6]]+Таблица3[[#This Row],[7]]</f>
        <v>0.1</v>
      </c>
      <c r="E168" s="137">
        <v>0.1</v>
      </c>
      <c r="F168" s="138"/>
      <c r="G168" s="139"/>
      <c r="H168" s="140"/>
      <c r="I168" s="145">
        <v>164</v>
      </c>
    </row>
    <row r="169" spans="1:9" ht="69.75" x14ac:dyDescent="0.25">
      <c r="A169" s="144" t="s">
        <v>521</v>
      </c>
      <c r="B169" s="144" t="s">
        <v>522</v>
      </c>
      <c r="C169" s="144" t="s">
        <v>552</v>
      </c>
      <c r="D169" s="144">
        <f>Таблица3[[#This Row],[5]]+Таблица3[[#This Row],[4]]+Таблица3[[#This Row],[6]]+Таблица3[[#This Row],[7]]</f>
        <v>0.4</v>
      </c>
      <c r="E169" s="137"/>
      <c r="F169" s="138">
        <v>0.2</v>
      </c>
      <c r="G169" s="139">
        <v>0.2</v>
      </c>
      <c r="H169" s="140"/>
      <c r="I169" s="145">
        <v>165</v>
      </c>
    </row>
    <row r="170" spans="1:9" ht="69.75" x14ac:dyDescent="0.25">
      <c r="A170" s="144" t="s">
        <v>523</v>
      </c>
      <c r="B170" s="144" t="s">
        <v>524</v>
      </c>
      <c r="C170" s="144" t="s">
        <v>552</v>
      </c>
      <c r="D170" s="144">
        <f>Таблица3[[#This Row],[5]]+Таблица3[[#This Row],[4]]+Таблица3[[#This Row],[6]]+Таблица3[[#This Row],[7]]</f>
        <v>1.7190000000000001</v>
      </c>
      <c r="E170" s="137">
        <v>1.7190000000000001</v>
      </c>
      <c r="F170" s="138"/>
      <c r="G170" s="139"/>
      <c r="H170" s="140"/>
      <c r="I170" s="145">
        <v>166</v>
      </c>
    </row>
    <row r="171" spans="1:9" ht="69.75" x14ac:dyDescent="0.25">
      <c r="A171" s="144" t="s">
        <v>553</v>
      </c>
      <c r="B171" s="144" t="s">
        <v>554</v>
      </c>
      <c r="C171" s="144" t="s">
        <v>552</v>
      </c>
      <c r="D171" s="144">
        <f>Таблица3[[#This Row],[5]]+Таблица3[[#This Row],[4]]+Таблица3[[#This Row],[6]]+Таблица3[[#This Row],[7]]</f>
        <v>3</v>
      </c>
      <c r="E171" s="137">
        <v>2.1</v>
      </c>
      <c r="F171" s="138">
        <v>0.9</v>
      </c>
      <c r="G171" s="139"/>
      <c r="H171" s="140"/>
      <c r="I171" s="145">
        <v>167</v>
      </c>
    </row>
    <row r="172" spans="1:9" ht="69.75" x14ac:dyDescent="0.25">
      <c r="A172" s="144" t="s">
        <v>525</v>
      </c>
      <c r="B172" s="144" t="s">
        <v>526</v>
      </c>
      <c r="C172" s="144" t="s">
        <v>552</v>
      </c>
      <c r="D172" s="144">
        <f>Таблица3[[#This Row],[5]]+Таблица3[[#This Row],[4]]+Таблица3[[#This Row],[6]]+Таблица3[[#This Row],[7]]</f>
        <v>6.6</v>
      </c>
      <c r="E172" s="137">
        <v>0.7</v>
      </c>
      <c r="F172" s="138">
        <v>0.9</v>
      </c>
      <c r="G172" s="139">
        <v>5</v>
      </c>
      <c r="H172" s="140"/>
      <c r="I172" s="145">
        <v>168</v>
      </c>
    </row>
    <row r="173" spans="1:9" ht="23.25" x14ac:dyDescent="0.25">
      <c r="A173" s="155"/>
      <c r="B173" s="155"/>
      <c r="C173" s="155"/>
      <c r="D173" s="157">
        <f>Таблица3[[#This Row],[5]]+Таблица3[[#This Row],[4]]+Таблица3[[#This Row],[6]]+Таблица3[[#This Row],[7]]</f>
        <v>0</v>
      </c>
      <c r="E173" s="158"/>
      <c r="F173" s="159"/>
      <c r="G173" s="160"/>
      <c r="H173" s="161"/>
      <c r="I173" s="156"/>
    </row>
    <row r="174" spans="1:9" s="150" customFormat="1" ht="18.75" x14ac:dyDescent="0.3">
      <c r="A174" s="147" t="s">
        <v>562</v>
      </c>
      <c r="B174" s="147"/>
      <c r="C174" s="147"/>
      <c r="D174" s="148">
        <f>SUBTOTAL(109,Таблица3[3])</f>
        <v>253.45199999999986</v>
      </c>
      <c r="E174" s="148">
        <f>SUBTOTAL(109,Таблица3[5])</f>
        <v>157.96799999999996</v>
      </c>
      <c r="F174" s="148">
        <f>SUBTOTAL(109,Таблица3[4])</f>
        <v>40.290000000000006</v>
      </c>
      <c r="G174" s="148">
        <f>SUBTOTAL(109,Таблица3[6])</f>
        <v>52.974000000000011</v>
      </c>
      <c r="H174" s="149">
        <f>SUBTOTAL(109,Таблица3[7])</f>
        <v>2.2199999999999998</v>
      </c>
      <c r="I174" s="148"/>
    </row>
  </sheetData>
  <mergeCells count="3">
    <mergeCell ref="B1:D1"/>
    <mergeCell ref="A2:A3"/>
    <mergeCell ref="B2:B3"/>
  </mergeCells>
  <conditionalFormatting sqref="B2:D2 B4:D4 D3">
    <cfRule type="uniqueValues" priority="2"/>
  </conditionalFormatting>
  <conditionalFormatting sqref="B5:D173">
    <cfRule type="uniqueValues" priority="3"/>
  </conditionalFormatting>
  <pageMargins left="0.7" right="0.7" top="0.75" bottom="0.75" header="0.3" footer="0.3"/>
  <pageSetup paperSize="9" scale="10" fitToWidth="0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5952E-D13E-4BCF-B16D-C7F34BEF02F4}">
  <dimension ref="A2:U41"/>
  <sheetViews>
    <sheetView topLeftCell="A13" workbookViewId="0">
      <selection activeCell="C15" sqref="C15:D15"/>
    </sheetView>
  </sheetViews>
  <sheetFormatPr defaultRowHeight="15" x14ac:dyDescent="0.25"/>
  <cols>
    <col min="1" max="1" width="21" customWidth="1"/>
    <col min="2" max="2" width="6.42578125" customWidth="1"/>
    <col min="3" max="3" width="8.140625" customWidth="1"/>
    <col min="4" max="4" width="7.140625" customWidth="1"/>
    <col min="5" max="5" width="8.7109375" customWidth="1"/>
    <col min="6" max="6" width="7.42578125" customWidth="1"/>
    <col min="7" max="7" width="8.5703125" customWidth="1"/>
    <col min="8" max="8" width="7.42578125" customWidth="1"/>
    <col min="9" max="10" width="10.7109375" customWidth="1"/>
    <col min="13" max="13" width="7.85546875" customWidth="1"/>
    <col min="14" max="14" width="8.42578125" customWidth="1"/>
    <col min="15" max="15" width="8.28515625" customWidth="1"/>
    <col min="21" max="21" width="7.140625" customWidth="1"/>
    <col min="257" max="257" width="21" customWidth="1"/>
    <col min="258" max="258" width="6.42578125" customWidth="1"/>
    <col min="259" max="259" width="8.140625" customWidth="1"/>
    <col min="260" max="260" width="7.140625" customWidth="1"/>
    <col min="261" max="261" width="8.7109375" customWidth="1"/>
    <col min="262" max="262" width="7.42578125" customWidth="1"/>
    <col min="263" max="263" width="8.5703125" customWidth="1"/>
    <col min="264" max="264" width="7.42578125" customWidth="1"/>
    <col min="265" max="266" width="10.7109375" customWidth="1"/>
    <col min="269" max="269" width="7.85546875" customWidth="1"/>
    <col min="270" max="270" width="8.42578125" customWidth="1"/>
    <col min="271" max="271" width="8.28515625" customWidth="1"/>
    <col min="277" max="277" width="7.140625" customWidth="1"/>
    <col min="513" max="513" width="21" customWidth="1"/>
    <col min="514" max="514" width="6.42578125" customWidth="1"/>
    <col min="515" max="515" width="8.140625" customWidth="1"/>
    <col min="516" max="516" width="7.140625" customWidth="1"/>
    <col min="517" max="517" width="8.7109375" customWidth="1"/>
    <col min="518" max="518" width="7.42578125" customWidth="1"/>
    <col min="519" max="519" width="8.5703125" customWidth="1"/>
    <col min="520" max="520" width="7.42578125" customWidth="1"/>
    <col min="521" max="522" width="10.7109375" customWidth="1"/>
    <col min="525" max="525" width="7.85546875" customWidth="1"/>
    <col min="526" max="526" width="8.42578125" customWidth="1"/>
    <col min="527" max="527" width="8.28515625" customWidth="1"/>
    <col min="533" max="533" width="7.140625" customWidth="1"/>
    <col min="769" max="769" width="21" customWidth="1"/>
    <col min="770" max="770" width="6.42578125" customWidth="1"/>
    <col min="771" max="771" width="8.140625" customWidth="1"/>
    <col min="772" max="772" width="7.140625" customWidth="1"/>
    <col min="773" max="773" width="8.7109375" customWidth="1"/>
    <col min="774" max="774" width="7.42578125" customWidth="1"/>
    <col min="775" max="775" width="8.5703125" customWidth="1"/>
    <col min="776" max="776" width="7.42578125" customWidth="1"/>
    <col min="777" max="778" width="10.7109375" customWidth="1"/>
    <col min="781" max="781" width="7.85546875" customWidth="1"/>
    <col min="782" max="782" width="8.42578125" customWidth="1"/>
    <col min="783" max="783" width="8.28515625" customWidth="1"/>
    <col min="789" max="789" width="7.140625" customWidth="1"/>
    <col min="1025" max="1025" width="21" customWidth="1"/>
    <col min="1026" max="1026" width="6.42578125" customWidth="1"/>
    <col min="1027" max="1027" width="8.140625" customWidth="1"/>
    <col min="1028" max="1028" width="7.140625" customWidth="1"/>
    <col min="1029" max="1029" width="8.7109375" customWidth="1"/>
    <col min="1030" max="1030" width="7.42578125" customWidth="1"/>
    <col min="1031" max="1031" width="8.5703125" customWidth="1"/>
    <col min="1032" max="1032" width="7.42578125" customWidth="1"/>
    <col min="1033" max="1034" width="10.7109375" customWidth="1"/>
    <col min="1037" max="1037" width="7.85546875" customWidth="1"/>
    <col min="1038" max="1038" width="8.42578125" customWidth="1"/>
    <col min="1039" max="1039" width="8.28515625" customWidth="1"/>
    <col min="1045" max="1045" width="7.140625" customWidth="1"/>
    <col min="1281" max="1281" width="21" customWidth="1"/>
    <col min="1282" max="1282" width="6.42578125" customWidth="1"/>
    <col min="1283" max="1283" width="8.140625" customWidth="1"/>
    <col min="1284" max="1284" width="7.140625" customWidth="1"/>
    <col min="1285" max="1285" width="8.7109375" customWidth="1"/>
    <col min="1286" max="1286" width="7.42578125" customWidth="1"/>
    <col min="1287" max="1287" width="8.5703125" customWidth="1"/>
    <col min="1288" max="1288" width="7.42578125" customWidth="1"/>
    <col min="1289" max="1290" width="10.7109375" customWidth="1"/>
    <col min="1293" max="1293" width="7.85546875" customWidth="1"/>
    <col min="1294" max="1294" width="8.42578125" customWidth="1"/>
    <col min="1295" max="1295" width="8.28515625" customWidth="1"/>
    <col min="1301" max="1301" width="7.140625" customWidth="1"/>
    <col min="1537" max="1537" width="21" customWidth="1"/>
    <col min="1538" max="1538" width="6.42578125" customWidth="1"/>
    <col min="1539" max="1539" width="8.140625" customWidth="1"/>
    <col min="1540" max="1540" width="7.140625" customWidth="1"/>
    <col min="1541" max="1541" width="8.7109375" customWidth="1"/>
    <col min="1542" max="1542" width="7.42578125" customWidth="1"/>
    <col min="1543" max="1543" width="8.5703125" customWidth="1"/>
    <col min="1544" max="1544" width="7.42578125" customWidth="1"/>
    <col min="1545" max="1546" width="10.7109375" customWidth="1"/>
    <col min="1549" max="1549" width="7.85546875" customWidth="1"/>
    <col min="1550" max="1550" width="8.42578125" customWidth="1"/>
    <col min="1551" max="1551" width="8.28515625" customWidth="1"/>
    <col min="1557" max="1557" width="7.140625" customWidth="1"/>
    <col min="1793" max="1793" width="21" customWidth="1"/>
    <col min="1794" max="1794" width="6.42578125" customWidth="1"/>
    <col min="1795" max="1795" width="8.140625" customWidth="1"/>
    <col min="1796" max="1796" width="7.140625" customWidth="1"/>
    <col min="1797" max="1797" width="8.7109375" customWidth="1"/>
    <col min="1798" max="1798" width="7.42578125" customWidth="1"/>
    <col min="1799" max="1799" width="8.5703125" customWidth="1"/>
    <col min="1800" max="1800" width="7.42578125" customWidth="1"/>
    <col min="1801" max="1802" width="10.7109375" customWidth="1"/>
    <col min="1805" max="1805" width="7.85546875" customWidth="1"/>
    <col min="1806" max="1806" width="8.42578125" customWidth="1"/>
    <col min="1807" max="1807" width="8.28515625" customWidth="1"/>
    <col min="1813" max="1813" width="7.140625" customWidth="1"/>
    <col min="2049" max="2049" width="21" customWidth="1"/>
    <col min="2050" max="2050" width="6.42578125" customWidth="1"/>
    <col min="2051" max="2051" width="8.140625" customWidth="1"/>
    <col min="2052" max="2052" width="7.140625" customWidth="1"/>
    <col min="2053" max="2053" width="8.7109375" customWidth="1"/>
    <col min="2054" max="2054" width="7.42578125" customWidth="1"/>
    <col min="2055" max="2055" width="8.5703125" customWidth="1"/>
    <col min="2056" max="2056" width="7.42578125" customWidth="1"/>
    <col min="2057" max="2058" width="10.7109375" customWidth="1"/>
    <col min="2061" max="2061" width="7.85546875" customWidth="1"/>
    <col min="2062" max="2062" width="8.42578125" customWidth="1"/>
    <col min="2063" max="2063" width="8.28515625" customWidth="1"/>
    <col min="2069" max="2069" width="7.140625" customWidth="1"/>
    <col min="2305" max="2305" width="21" customWidth="1"/>
    <col min="2306" max="2306" width="6.42578125" customWidth="1"/>
    <col min="2307" max="2307" width="8.140625" customWidth="1"/>
    <col min="2308" max="2308" width="7.140625" customWidth="1"/>
    <col min="2309" max="2309" width="8.7109375" customWidth="1"/>
    <col min="2310" max="2310" width="7.42578125" customWidth="1"/>
    <col min="2311" max="2311" width="8.5703125" customWidth="1"/>
    <col min="2312" max="2312" width="7.42578125" customWidth="1"/>
    <col min="2313" max="2314" width="10.7109375" customWidth="1"/>
    <col min="2317" max="2317" width="7.85546875" customWidth="1"/>
    <col min="2318" max="2318" width="8.42578125" customWidth="1"/>
    <col min="2319" max="2319" width="8.28515625" customWidth="1"/>
    <col min="2325" max="2325" width="7.140625" customWidth="1"/>
    <col min="2561" max="2561" width="21" customWidth="1"/>
    <col min="2562" max="2562" width="6.42578125" customWidth="1"/>
    <col min="2563" max="2563" width="8.140625" customWidth="1"/>
    <col min="2564" max="2564" width="7.140625" customWidth="1"/>
    <col min="2565" max="2565" width="8.7109375" customWidth="1"/>
    <col min="2566" max="2566" width="7.42578125" customWidth="1"/>
    <col min="2567" max="2567" width="8.5703125" customWidth="1"/>
    <col min="2568" max="2568" width="7.42578125" customWidth="1"/>
    <col min="2569" max="2570" width="10.7109375" customWidth="1"/>
    <col min="2573" max="2573" width="7.85546875" customWidth="1"/>
    <col min="2574" max="2574" width="8.42578125" customWidth="1"/>
    <col min="2575" max="2575" width="8.28515625" customWidth="1"/>
    <col min="2581" max="2581" width="7.140625" customWidth="1"/>
    <col min="2817" max="2817" width="21" customWidth="1"/>
    <col min="2818" max="2818" width="6.42578125" customWidth="1"/>
    <col min="2819" max="2819" width="8.140625" customWidth="1"/>
    <col min="2820" max="2820" width="7.140625" customWidth="1"/>
    <col min="2821" max="2821" width="8.7109375" customWidth="1"/>
    <col min="2822" max="2822" width="7.42578125" customWidth="1"/>
    <col min="2823" max="2823" width="8.5703125" customWidth="1"/>
    <col min="2824" max="2824" width="7.42578125" customWidth="1"/>
    <col min="2825" max="2826" width="10.7109375" customWidth="1"/>
    <col min="2829" max="2829" width="7.85546875" customWidth="1"/>
    <col min="2830" max="2830" width="8.42578125" customWidth="1"/>
    <col min="2831" max="2831" width="8.28515625" customWidth="1"/>
    <col min="2837" max="2837" width="7.140625" customWidth="1"/>
    <col min="3073" max="3073" width="21" customWidth="1"/>
    <col min="3074" max="3074" width="6.42578125" customWidth="1"/>
    <col min="3075" max="3075" width="8.140625" customWidth="1"/>
    <col min="3076" max="3076" width="7.140625" customWidth="1"/>
    <col min="3077" max="3077" width="8.7109375" customWidth="1"/>
    <col min="3078" max="3078" width="7.42578125" customWidth="1"/>
    <col min="3079" max="3079" width="8.5703125" customWidth="1"/>
    <col min="3080" max="3080" width="7.42578125" customWidth="1"/>
    <col min="3081" max="3082" width="10.7109375" customWidth="1"/>
    <col min="3085" max="3085" width="7.85546875" customWidth="1"/>
    <col min="3086" max="3086" width="8.42578125" customWidth="1"/>
    <col min="3087" max="3087" width="8.28515625" customWidth="1"/>
    <col min="3093" max="3093" width="7.140625" customWidth="1"/>
    <col min="3329" max="3329" width="21" customWidth="1"/>
    <col min="3330" max="3330" width="6.42578125" customWidth="1"/>
    <col min="3331" max="3331" width="8.140625" customWidth="1"/>
    <col min="3332" max="3332" width="7.140625" customWidth="1"/>
    <col min="3333" max="3333" width="8.7109375" customWidth="1"/>
    <col min="3334" max="3334" width="7.42578125" customWidth="1"/>
    <col min="3335" max="3335" width="8.5703125" customWidth="1"/>
    <col min="3336" max="3336" width="7.42578125" customWidth="1"/>
    <col min="3337" max="3338" width="10.7109375" customWidth="1"/>
    <col min="3341" max="3341" width="7.85546875" customWidth="1"/>
    <col min="3342" max="3342" width="8.42578125" customWidth="1"/>
    <col min="3343" max="3343" width="8.28515625" customWidth="1"/>
    <col min="3349" max="3349" width="7.140625" customWidth="1"/>
    <col min="3585" max="3585" width="21" customWidth="1"/>
    <col min="3586" max="3586" width="6.42578125" customWidth="1"/>
    <col min="3587" max="3587" width="8.140625" customWidth="1"/>
    <col min="3588" max="3588" width="7.140625" customWidth="1"/>
    <col min="3589" max="3589" width="8.7109375" customWidth="1"/>
    <col min="3590" max="3590" width="7.42578125" customWidth="1"/>
    <col min="3591" max="3591" width="8.5703125" customWidth="1"/>
    <col min="3592" max="3592" width="7.42578125" customWidth="1"/>
    <col min="3593" max="3594" width="10.7109375" customWidth="1"/>
    <col min="3597" max="3597" width="7.85546875" customWidth="1"/>
    <col min="3598" max="3598" width="8.42578125" customWidth="1"/>
    <col min="3599" max="3599" width="8.28515625" customWidth="1"/>
    <col min="3605" max="3605" width="7.140625" customWidth="1"/>
    <col min="3841" max="3841" width="21" customWidth="1"/>
    <col min="3842" max="3842" width="6.42578125" customWidth="1"/>
    <col min="3843" max="3843" width="8.140625" customWidth="1"/>
    <col min="3844" max="3844" width="7.140625" customWidth="1"/>
    <col min="3845" max="3845" width="8.7109375" customWidth="1"/>
    <col min="3846" max="3846" width="7.42578125" customWidth="1"/>
    <col min="3847" max="3847" width="8.5703125" customWidth="1"/>
    <col min="3848" max="3848" width="7.42578125" customWidth="1"/>
    <col min="3849" max="3850" width="10.7109375" customWidth="1"/>
    <col min="3853" max="3853" width="7.85546875" customWidth="1"/>
    <col min="3854" max="3854" width="8.42578125" customWidth="1"/>
    <col min="3855" max="3855" width="8.28515625" customWidth="1"/>
    <col min="3861" max="3861" width="7.140625" customWidth="1"/>
    <col min="4097" max="4097" width="21" customWidth="1"/>
    <col min="4098" max="4098" width="6.42578125" customWidth="1"/>
    <col min="4099" max="4099" width="8.140625" customWidth="1"/>
    <col min="4100" max="4100" width="7.140625" customWidth="1"/>
    <col min="4101" max="4101" width="8.7109375" customWidth="1"/>
    <col min="4102" max="4102" width="7.42578125" customWidth="1"/>
    <col min="4103" max="4103" width="8.5703125" customWidth="1"/>
    <col min="4104" max="4104" width="7.42578125" customWidth="1"/>
    <col min="4105" max="4106" width="10.7109375" customWidth="1"/>
    <col min="4109" max="4109" width="7.85546875" customWidth="1"/>
    <col min="4110" max="4110" width="8.42578125" customWidth="1"/>
    <col min="4111" max="4111" width="8.28515625" customWidth="1"/>
    <col min="4117" max="4117" width="7.140625" customWidth="1"/>
    <col min="4353" max="4353" width="21" customWidth="1"/>
    <col min="4354" max="4354" width="6.42578125" customWidth="1"/>
    <col min="4355" max="4355" width="8.140625" customWidth="1"/>
    <col min="4356" max="4356" width="7.140625" customWidth="1"/>
    <col min="4357" max="4357" width="8.7109375" customWidth="1"/>
    <col min="4358" max="4358" width="7.42578125" customWidth="1"/>
    <col min="4359" max="4359" width="8.5703125" customWidth="1"/>
    <col min="4360" max="4360" width="7.42578125" customWidth="1"/>
    <col min="4361" max="4362" width="10.7109375" customWidth="1"/>
    <col min="4365" max="4365" width="7.85546875" customWidth="1"/>
    <col min="4366" max="4366" width="8.42578125" customWidth="1"/>
    <col min="4367" max="4367" width="8.28515625" customWidth="1"/>
    <col min="4373" max="4373" width="7.140625" customWidth="1"/>
    <col min="4609" max="4609" width="21" customWidth="1"/>
    <col min="4610" max="4610" width="6.42578125" customWidth="1"/>
    <col min="4611" max="4611" width="8.140625" customWidth="1"/>
    <col min="4612" max="4612" width="7.140625" customWidth="1"/>
    <col min="4613" max="4613" width="8.7109375" customWidth="1"/>
    <col min="4614" max="4614" width="7.42578125" customWidth="1"/>
    <col min="4615" max="4615" width="8.5703125" customWidth="1"/>
    <col min="4616" max="4616" width="7.42578125" customWidth="1"/>
    <col min="4617" max="4618" width="10.7109375" customWidth="1"/>
    <col min="4621" max="4621" width="7.85546875" customWidth="1"/>
    <col min="4622" max="4622" width="8.42578125" customWidth="1"/>
    <col min="4623" max="4623" width="8.28515625" customWidth="1"/>
    <col min="4629" max="4629" width="7.140625" customWidth="1"/>
    <col min="4865" max="4865" width="21" customWidth="1"/>
    <col min="4866" max="4866" width="6.42578125" customWidth="1"/>
    <col min="4867" max="4867" width="8.140625" customWidth="1"/>
    <col min="4868" max="4868" width="7.140625" customWidth="1"/>
    <col min="4869" max="4869" width="8.7109375" customWidth="1"/>
    <col min="4870" max="4870" width="7.42578125" customWidth="1"/>
    <col min="4871" max="4871" width="8.5703125" customWidth="1"/>
    <col min="4872" max="4872" width="7.42578125" customWidth="1"/>
    <col min="4873" max="4874" width="10.7109375" customWidth="1"/>
    <col min="4877" max="4877" width="7.85546875" customWidth="1"/>
    <col min="4878" max="4878" width="8.42578125" customWidth="1"/>
    <col min="4879" max="4879" width="8.28515625" customWidth="1"/>
    <col min="4885" max="4885" width="7.140625" customWidth="1"/>
    <col min="5121" max="5121" width="21" customWidth="1"/>
    <col min="5122" max="5122" width="6.42578125" customWidth="1"/>
    <col min="5123" max="5123" width="8.140625" customWidth="1"/>
    <col min="5124" max="5124" width="7.140625" customWidth="1"/>
    <col min="5125" max="5125" width="8.7109375" customWidth="1"/>
    <col min="5126" max="5126" width="7.42578125" customWidth="1"/>
    <col min="5127" max="5127" width="8.5703125" customWidth="1"/>
    <col min="5128" max="5128" width="7.42578125" customWidth="1"/>
    <col min="5129" max="5130" width="10.7109375" customWidth="1"/>
    <col min="5133" max="5133" width="7.85546875" customWidth="1"/>
    <col min="5134" max="5134" width="8.42578125" customWidth="1"/>
    <col min="5135" max="5135" width="8.28515625" customWidth="1"/>
    <col min="5141" max="5141" width="7.140625" customWidth="1"/>
    <col min="5377" max="5377" width="21" customWidth="1"/>
    <col min="5378" max="5378" width="6.42578125" customWidth="1"/>
    <col min="5379" max="5379" width="8.140625" customWidth="1"/>
    <col min="5380" max="5380" width="7.140625" customWidth="1"/>
    <col min="5381" max="5381" width="8.7109375" customWidth="1"/>
    <col min="5382" max="5382" width="7.42578125" customWidth="1"/>
    <col min="5383" max="5383" width="8.5703125" customWidth="1"/>
    <col min="5384" max="5384" width="7.42578125" customWidth="1"/>
    <col min="5385" max="5386" width="10.7109375" customWidth="1"/>
    <col min="5389" max="5389" width="7.85546875" customWidth="1"/>
    <col min="5390" max="5390" width="8.42578125" customWidth="1"/>
    <col min="5391" max="5391" width="8.28515625" customWidth="1"/>
    <col min="5397" max="5397" width="7.140625" customWidth="1"/>
    <col min="5633" max="5633" width="21" customWidth="1"/>
    <col min="5634" max="5634" width="6.42578125" customWidth="1"/>
    <col min="5635" max="5635" width="8.140625" customWidth="1"/>
    <col min="5636" max="5636" width="7.140625" customWidth="1"/>
    <col min="5637" max="5637" width="8.7109375" customWidth="1"/>
    <col min="5638" max="5638" width="7.42578125" customWidth="1"/>
    <col min="5639" max="5639" width="8.5703125" customWidth="1"/>
    <col min="5640" max="5640" width="7.42578125" customWidth="1"/>
    <col min="5641" max="5642" width="10.7109375" customWidth="1"/>
    <col min="5645" max="5645" width="7.85546875" customWidth="1"/>
    <col min="5646" max="5646" width="8.42578125" customWidth="1"/>
    <col min="5647" max="5647" width="8.28515625" customWidth="1"/>
    <col min="5653" max="5653" width="7.140625" customWidth="1"/>
    <col min="5889" max="5889" width="21" customWidth="1"/>
    <col min="5890" max="5890" width="6.42578125" customWidth="1"/>
    <col min="5891" max="5891" width="8.140625" customWidth="1"/>
    <col min="5892" max="5892" width="7.140625" customWidth="1"/>
    <col min="5893" max="5893" width="8.7109375" customWidth="1"/>
    <col min="5894" max="5894" width="7.42578125" customWidth="1"/>
    <col min="5895" max="5895" width="8.5703125" customWidth="1"/>
    <col min="5896" max="5896" width="7.42578125" customWidth="1"/>
    <col min="5897" max="5898" width="10.7109375" customWidth="1"/>
    <col min="5901" max="5901" width="7.85546875" customWidth="1"/>
    <col min="5902" max="5902" width="8.42578125" customWidth="1"/>
    <col min="5903" max="5903" width="8.28515625" customWidth="1"/>
    <col min="5909" max="5909" width="7.140625" customWidth="1"/>
    <col min="6145" max="6145" width="21" customWidth="1"/>
    <col min="6146" max="6146" width="6.42578125" customWidth="1"/>
    <col min="6147" max="6147" width="8.140625" customWidth="1"/>
    <col min="6148" max="6148" width="7.140625" customWidth="1"/>
    <col min="6149" max="6149" width="8.7109375" customWidth="1"/>
    <col min="6150" max="6150" width="7.42578125" customWidth="1"/>
    <col min="6151" max="6151" width="8.5703125" customWidth="1"/>
    <col min="6152" max="6152" width="7.42578125" customWidth="1"/>
    <col min="6153" max="6154" width="10.7109375" customWidth="1"/>
    <col min="6157" max="6157" width="7.85546875" customWidth="1"/>
    <col min="6158" max="6158" width="8.42578125" customWidth="1"/>
    <col min="6159" max="6159" width="8.28515625" customWidth="1"/>
    <col min="6165" max="6165" width="7.140625" customWidth="1"/>
    <col min="6401" max="6401" width="21" customWidth="1"/>
    <col min="6402" max="6402" width="6.42578125" customWidth="1"/>
    <col min="6403" max="6403" width="8.140625" customWidth="1"/>
    <col min="6404" max="6404" width="7.140625" customWidth="1"/>
    <col min="6405" max="6405" width="8.7109375" customWidth="1"/>
    <col min="6406" max="6406" width="7.42578125" customWidth="1"/>
    <col min="6407" max="6407" width="8.5703125" customWidth="1"/>
    <col min="6408" max="6408" width="7.42578125" customWidth="1"/>
    <col min="6409" max="6410" width="10.7109375" customWidth="1"/>
    <col min="6413" max="6413" width="7.85546875" customWidth="1"/>
    <col min="6414" max="6414" width="8.42578125" customWidth="1"/>
    <col min="6415" max="6415" width="8.28515625" customWidth="1"/>
    <col min="6421" max="6421" width="7.140625" customWidth="1"/>
    <col min="6657" max="6657" width="21" customWidth="1"/>
    <col min="6658" max="6658" width="6.42578125" customWidth="1"/>
    <col min="6659" max="6659" width="8.140625" customWidth="1"/>
    <col min="6660" max="6660" width="7.140625" customWidth="1"/>
    <col min="6661" max="6661" width="8.7109375" customWidth="1"/>
    <col min="6662" max="6662" width="7.42578125" customWidth="1"/>
    <col min="6663" max="6663" width="8.5703125" customWidth="1"/>
    <col min="6664" max="6664" width="7.42578125" customWidth="1"/>
    <col min="6665" max="6666" width="10.7109375" customWidth="1"/>
    <col min="6669" max="6669" width="7.85546875" customWidth="1"/>
    <col min="6670" max="6670" width="8.42578125" customWidth="1"/>
    <col min="6671" max="6671" width="8.28515625" customWidth="1"/>
    <col min="6677" max="6677" width="7.140625" customWidth="1"/>
    <col min="6913" max="6913" width="21" customWidth="1"/>
    <col min="6914" max="6914" width="6.42578125" customWidth="1"/>
    <col min="6915" max="6915" width="8.140625" customWidth="1"/>
    <col min="6916" max="6916" width="7.140625" customWidth="1"/>
    <col min="6917" max="6917" width="8.7109375" customWidth="1"/>
    <col min="6918" max="6918" width="7.42578125" customWidth="1"/>
    <col min="6919" max="6919" width="8.5703125" customWidth="1"/>
    <col min="6920" max="6920" width="7.42578125" customWidth="1"/>
    <col min="6921" max="6922" width="10.7109375" customWidth="1"/>
    <col min="6925" max="6925" width="7.85546875" customWidth="1"/>
    <col min="6926" max="6926" width="8.42578125" customWidth="1"/>
    <col min="6927" max="6927" width="8.28515625" customWidth="1"/>
    <col min="6933" max="6933" width="7.140625" customWidth="1"/>
    <col min="7169" max="7169" width="21" customWidth="1"/>
    <col min="7170" max="7170" width="6.42578125" customWidth="1"/>
    <col min="7171" max="7171" width="8.140625" customWidth="1"/>
    <col min="7172" max="7172" width="7.140625" customWidth="1"/>
    <col min="7173" max="7173" width="8.7109375" customWidth="1"/>
    <col min="7174" max="7174" width="7.42578125" customWidth="1"/>
    <col min="7175" max="7175" width="8.5703125" customWidth="1"/>
    <col min="7176" max="7176" width="7.42578125" customWidth="1"/>
    <col min="7177" max="7178" width="10.7109375" customWidth="1"/>
    <col min="7181" max="7181" width="7.85546875" customWidth="1"/>
    <col min="7182" max="7182" width="8.42578125" customWidth="1"/>
    <col min="7183" max="7183" width="8.28515625" customWidth="1"/>
    <col min="7189" max="7189" width="7.140625" customWidth="1"/>
    <col min="7425" max="7425" width="21" customWidth="1"/>
    <col min="7426" max="7426" width="6.42578125" customWidth="1"/>
    <col min="7427" max="7427" width="8.140625" customWidth="1"/>
    <col min="7428" max="7428" width="7.140625" customWidth="1"/>
    <col min="7429" max="7429" width="8.7109375" customWidth="1"/>
    <col min="7430" max="7430" width="7.42578125" customWidth="1"/>
    <col min="7431" max="7431" width="8.5703125" customWidth="1"/>
    <col min="7432" max="7432" width="7.42578125" customWidth="1"/>
    <col min="7433" max="7434" width="10.7109375" customWidth="1"/>
    <col min="7437" max="7437" width="7.85546875" customWidth="1"/>
    <col min="7438" max="7438" width="8.42578125" customWidth="1"/>
    <col min="7439" max="7439" width="8.28515625" customWidth="1"/>
    <col min="7445" max="7445" width="7.140625" customWidth="1"/>
    <col min="7681" max="7681" width="21" customWidth="1"/>
    <col min="7682" max="7682" width="6.42578125" customWidth="1"/>
    <col min="7683" max="7683" width="8.140625" customWidth="1"/>
    <col min="7684" max="7684" width="7.140625" customWidth="1"/>
    <col min="7685" max="7685" width="8.7109375" customWidth="1"/>
    <col min="7686" max="7686" width="7.42578125" customWidth="1"/>
    <col min="7687" max="7687" width="8.5703125" customWidth="1"/>
    <col min="7688" max="7688" width="7.42578125" customWidth="1"/>
    <col min="7689" max="7690" width="10.7109375" customWidth="1"/>
    <col min="7693" max="7693" width="7.85546875" customWidth="1"/>
    <col min="7694" max="7694" width="8.42578125" customWidth="1"/>
    <col min="7695" max="7695" width="8.28515625" customWidth="1"/>
    <col min="7701" max="7701" width="7.140625" customWidth="1"/>
    <col min="7937" max="7937" width="21" customWidth="1"/>
    <col min="7938" max="7938" width="6.42578125" customWidth="1"/>
    <col min="7939" max="7939" width="8.140625" customWidth="1"/>
    <col min="7940" max="7940" width="7.140625" customWidth="1"/>
    <col min="7941" max="7941" width="8.7109375" customWidth="1"/>
    <col min="7942" max="7942" width="7.42578125" customWidth="1"/>
    <col min="7943" max="7943" width="8.5703125" customWidth="1"/>
    <col min="7944" max="7944" width="7.42578125" customWidth="1"/>
    <col min="7945" max="7946" width="10.7109375" customWidth="1"/>
    <col min="7949" max="7949" width="7.85546875" customWidth="1"/>
    <col min="7950" max="7950" width="8.42578125" customWidth="1"/>
    <col min="7951" max="7951" width="8.28515625" customWidth="1"/>
    <col min="7957" max="7957" width="7.140625" customWidth="1"/>
    <col min="8193" max="8193" width="21" customWidth="1"/>
    <col min="8194" max="8194" width="6.42578125" customWidth="1"/>
    <col min="8195" max="8195" width="8.140625" customWidth="1"/>
    <col min="8196" max="8196" width="7.140625" customWidth="1"/>
    <col min="8197" max="8197" width="8.7109375" customWidth="1"/>
    <col min="8198" max="8198" width="7.42578125" customWidth="1"/>
    <col min="8199" max="8199" width="8.5703125" customWidth="1"/>
    <col min="8200" max="8200" width="7.42578125" customWidth="1"/>
    <col min="8201" max="8202" width="10.7109375" customWidth="1"/>
    <col min="8205" max="8205" width="7.85546875" customWidth="1"/>
    <col min="8206" max="8206" width="8.42578125" customWidth="1"/>
    <col min="8207" max="8207" width="8.28515625" customWidth="1"/>
    <col min="8213" max="8213" width="7.140625" customWidth="1"/>
    <col min="8449" max="8449" width="21" customWidth="1"/>
    <col min="8450" max="8450" width="6.42578125" customWidth="1"/>
    <col min="8451" max="8451" width="8.140625" customWidth="1"/>
    <col min="8452" max="8452" width="7.140625" customWidth="1"/>
    <col min="8453" max="8453" width="8.7109375" customWidth="1"/>
    <col min="8454" max="8454" width="7.42578125" customWidth="1"/>
    <col min="8455" max="8455" width="8.5703125" customWidth="1"/>
    <col min="8456" max="8456" width="7.42578125" customWidth="1"/>
    <col min="8457" max="8458" width="10.7109375" customWidth="1"/>
    <col min="8461" max="8461" width="7.85546875" customWidth="1"/>
    <col min="8462" max="8462" width="8.42578125" customWidth="1"/>
    <col min="8463" max="8463" width="8.28515625" customWidth="1"/>
    <col min="8469" max="8469" width="7.140625" customWidth="1"/>
    <col min="8705" max="8705" width="21" customWidth="1"/>
    <col min="8706" max="8706" width="6.42578125" customWidth="1"/>
    <col min="8707" max="8707" width="8.140625" customWidth="1"/>
    <col min="8708" max="8708" width="7.140625" customWidth="1"/>
    <col min="8709" max="8709" width="8.7109375" customWidth="1"/>
    <col min="8710" max="8710" width="7.42578125" customWidth="1"/>
    <col min="8711" max="8711" width="8.5703125" customWidth="1"/>
    <col min="8712" max="8712" width="7.42578125" customWidth="1"/>
    <col min="8713" max="8714" width="10.7109375" customWidth="1"/>
    <col min="8717" max="8717" width="7.85546875" customWidth="1"/>
    <col min="8718" max="8718" width="8.42578125" customWidth="1"/>
    <col min="8719" max="8719" width="8.28515625" customWidth="1"/>
    <col min="8725" max="8725" width="7.140625" customWidth="1"/>
    <col min="8961" max="8961" width="21" customWidth="1"/>
    <col min="8962" max="8962" width="6.42578125" customWidth="1"/>
    <col min="8963" max="8963" width="8.140625" customWidth="1"/>
    <col min="8964" max="8964" width="7.140625" customWidth="1"/>
    <col min="8965" max="8965" width="8.7109375" customWidth="1"/>
    <col min="8966" max="8966" width="7.42578125" customWidth="1"/>
    <col min="8967" max="8967" width="8.5703125" customWidth="1"/>
    <col min="8968" max="8968" width="7.42578125" customWidth="1"/>
    <col min="8969" max="8970" width="10.7109375" customWidth="1"/>
    <col min="8973" max="8973" width="7.85546875" customWidth="1"/>
    <col min="8974" max="8974" width="8.42578125" customWidth="1"/>
    <col min="8975" max="8975" width="8.28515625" customWidth="1"/>
    <col min="8981" max="8981" width="7.140625" customWidth="1"/>
    <col min="9217" max="9217" width="21" customWidth="1"/>
    <col min="9218" max="9218" width="6.42578125" customWidth="1"/>
    <col min="9219" max="9219" width="8.140625" customWidth="1"/>
    <col min="9220" max="9220" width="7.140625" customWidth="1"/>
    <col min="9221" max="9221" width="8.7109375" customWidth="1"/>
    <col min="9222" max="9222" width="7.42578125" customWidth="1"/>
    <col min="9223" max="9223" width="8.5703125" customWidth="1"/>
    <col min="9224" max="9224" width="7.42578125" customWidth="1"/>
    <col min="9225" max="9226" width="10.7109375" customWidth="1"/>
    <col min="9229" max="9229" width="7.85546875" customWidth="1"/>
    <col min="9230" max="9230" width="8.42578125" customWidth="1"/>
    <col min="9231" max="9231" width="8.28515625" customWidth="1"/>
    <col min="9237" max="9237" width="7.140625" customWidth="1"/>
    <col min="9473" max="9473" width="21" customWidth="1"/>
    <col min="9474" max="9474" width="6.42578125" customWidth="1"/>
    <col min="9475" max="9475" width="8.140625" customWidth="1"/>
    <col min="9476" max="9476" width="7.140625" customWidth="1"/>
    <col min="9477" max="9477" width="8.7109375" customWidth="1"/>
    <col min="9478" max="9478" width="7.42578125" customWidth="1"/>
    <col min="9479" max="9479" width="8.5703125" customWidth="1"/>
    <col min="9480" max="9480" width="7.42578125" customWidth="1"/>
    <col min="9481" max="9482" width="10.7109375" customWidth="1"/>
    <col min="9485" max="9485" width="7.85546875" customWidth="1"/>
    <col min="9486" max="9486" width="8.42578125" customWidth="1"/>
    <col min="9487" max="9487" width="8.28515625" customWidth="1"/>
    <col min="9493" max="9493" width="7.140625" customWidth="1"/>
    <col min="9729" max="9729" width="21" customWidth="1"/>
    <col min="9730" max="9730" width="6.42578125" customWidth="1"/>
    <col min="9731" max="9731" width="8.140625" customWidth="1"/>
    <col min="9732" max="9732" width="7.140625" customWidth="1"/>
    <col min="9733" max="9733" width="8.7109375" customWidth="1"/>
    <col min="9734" max="9734" width="7.42578125" customWidth="1"/>
    <col min="9735" max="9735" width="8.5703125" customWidth="1"/>
    <col min="9736" max="9736" width="7.42578125" customWidth="1"/>
    <col min="9737" max="9738" width="10.7109375" customWidth="1"/>
    <col min="9741" max="9741" width="7.85546875" customWidth="1"/>
    <col min="9742" max="9742" width="8.42578125" customWidth="1"/>
    <col min="9743" max="9743" width="8.28515625" customWidth="1"/>
    <col min="9749" max="9749" width="7.140625" customWidth="1"/>
    <col min="9985" max="9985" width="21" customWidth="1"/>
    <col min="9986" max="9986" width="6.42578125" customWidth="1"/>
    <col min="9987" max="9987" width="8.140625" customWidth="1"/>
    <col min="9988" max="9988" width="7.140625" customWidth="1"/>
    <col min="9989" max="9989" width="8.7109375" customWidth="1"/>
    <col min="9990" max="9990" width="7.42578125" customWidth="1"/>
    <col min="9991" max="9991" width="8.5703125" customWidth="1"/>
    <col min="9992" max="9992" width="7.42578125" customWidth="1"/>
    <col min="9993" max="9994" width="10.7109375" customWidth="1"/>
    <col min="9997" max="9997" width="7.85546875" customWidth="1"/>
    <col min="9998" max="9998" width="8.42578125" customWidth="1"/>
    <col min="9999" max="9999" width="8.28515625" customWidth="1"/>
    <col min="10005" max="10005" width="7.140625" customWidth="1"/>
    <col min="10241" max="10241" width="21" customWidth="1"/>
    <col min="10242" max="10242" width="6.42578125" customWidth="1"/>
    <col min="10243" max="10243" width="8.140625" customWidth="1"/>
    <col min="10244" max="10244" width="7.140625" customWidth="1"/>
    <col min="10245" max="10245" width="8.7109375" customWidth="1"/>
    <col min="10246" max="10246" width="7.42578125" customWidth="1"/>
    <col min="10247" max="10247" width="8.5703125" customWidth="1"/>
    <col min="10248" max="10248" width="7.42578125" customWidth="1"/>
    <col min="10249" max="10250" width="10.7109375" customWidth="1"/>
    <col min="10253" max="10253" width="7.85546875" customWidth="1"/>
    <col min="10254" max="10254" width="8.42578125" customWidth="1"/>
    <col min="10255" max="10255" width="8.28515625" customWidth="1"/>
    <col min="10261" max="10261" width="7.140625" customWidth="1"/>
    <col min="10497" max="10497" width="21" customWidth="1"/>
    <col min="10498" max="10498" width="6.42578125" customWidth="1"/>
    <col min="10499" max="10499" width="8.140625" customWidth="1"/>
    <col min="10500" max="10500" width="7.140625" customWidth="1"/>
    <col min="10501" max="10501" width="8.7109375" customWidth="1"/>
    <col min="10502" max="10502" width="7.42578125" customWidth="1"/>
    <col min="10503" max="10503" width="8.5703125" customWidth="1"/>
    <col min="10504" max="10504" width="7.42578125" customWidth="1"/>
    <col min="10505" max="10506" width="10.7109375" customWidth="1"/>
    <col min="10509" max="10509" width="7.85546875" customWidth="1"/>
    <col min="10510" max="10510" width="8.42578125" customWidth="1"/>
    <col min="10511" max="10511" width="8.28515625" customWidth="1"/>
    <col min="10517" max="10517" width="7.140625" customWidth="1"/>
    <col min="10753" max="10753" width="21" customWidth="1"/>
    <col min="10754" max="10754" width="6.42578125" customWidth="1"/>
    <col min="10755" max="10755" width="8.140625" customWidth="1"/>
    <col min="10756" max="10756" width="7.140625" customWidth="1"/>
    <col min="10757" max="10757" width="8.7109375" customWidth="1"/>
    <col min="10758" max="10758" width="7.42578125" customWidth="1"/>
    <col min="10759" max="10759" width="8.5703125" customWidth="1"/>
    <col min="10760" max="10760" width="7.42578125" customWidth="1"/>
    <col min="10761" max="10762" width="10.7109375" customWidth="1"/>
    <col min="10765" max="10765" width="7.85546875" customWidth="1"/>
    <col min="10766" max="10766" width="8.42578125" customWidth="1"/>
    <col min="10767" max="10767" width="8.28515625" customWidth="1"/>
    <col min="10773" max="10773" width="7.140625" customWidth="1"/>
    <col min="11009" max="11009" width="21" customWidth="1"/>
    <col min="11010" max="11010" width="6.42578125" customWidth="1"/>
    <col min="11011" max="11011" width="8.140625" customWidth="1"/>
    <col min="11012" max="11012" width="7.140625" customWidth="1"/>
    <col min="11013" max="11013" width="8.7109375" customWidth="1"/>
    <col min="11014" max="11014" width="7.42578125" customWidth="1"/>
    <col min="11015" max="11015" width="8.5703125" customWidth="1"/>
    <col min="11016" max="11016" width="7.42578125" customWidth="1"/>
    <col min="11017" max="11018" width="10.7109375" customWidth="1"/>
    <col min="11021" max="11021" width="7.85546875" customWidth="1"/>
    <col min="11022" max="11022" width="8.42578125" customWidth="1"/>
    <col min="11023" max="11023" width="8.28515625" customWidth="1"/>
    <col min="11029" max="11029" width="7.140625" customWidth="1"/>
    <col min="11265" max="11265" width="21" customWidth="1"/>
    <col min="11266" max="11266" width="6.42578125" customWidth="1"/>
    <col min="11267" max="11267" width="8.140625" customWidth="1"/>
    <col min="11268" max="11268" width="7.140625" customWidth="1"/>
    <col min="11269" max="11269" width="8.7109375" customWidth="1"/>
    <col min="11270" max="11270" width="7.42578125" customWidth="1"/>
    <col min="11271" max="11271" width="8.5703125" customWidth="1"/>
    <col min="11272" max="11272" width="7.42578125" customWidth="1"/>
    <col min="11273" max="11274" width="10.7109375" customWidth="1"/>
    <col min="11277" max="11277" width="7.85546875" customWidth="1"/>
    <col min="11278" max="11278" width="8.42578125" customWidth="1"/>
    <col min="11279" max="11279" width="8.28515625" customWidth="1"/>
    <col min="11285" max="11285" width="7.140625" customWidth="1"/>
    <col min="11521" max="11521" width="21" customWidth="1"/>
    <col min="11522" max="11522" width="6.42578125" customWidth="1"/>
    <col min="11523" max="11523" width="8.140625" customWidth="1"/>
    <col min="11524" max="11524" width="7.140625" customWidth="1"/>
    <col min="11525" max="11525" width="8.7109375" customWidth="1"/>
    <col min="11526" max="11526" width="7.42578125" customWidth="1"/>
    <col min="11527" max="11527" width="8.5703125" customWidth="1"/>
    <col min="11528" max="11528" width="7.42578125" customWidth="1"/>
    <col min="11529" max="11530" width="10.7109375" customWidth="1"/>
    <col min="11533" max="11533" width="7.85546875" customWidth="1"/>
    <col min="11534" max="11534" width="8.42578125" customWidth="1"/>
    <col min="11535" max="11535" width="8.28515625" customWidth="1"/>
    <col min="11541" max="11541" width="7.140625" customWidth="1"/>
    <col min="11777" max="11777" width="21" customWidth="1"/>
    <col min="11778" max="11778" width="6.42578125" customWidth="1"/>
    <col min="11779" max="11779" width="8.140625" customWidth="1"/>
    <col min="11780" max="11780" width="7.140625" customWidth="1"/>
    <col min="11781" max="11781" width="8.7109375" customWidth="1"/>
    <col min="11782" max="11782" width="7.42578125" customWidth="1"/>
    <col min="11783" max="11783" width="8.5703125" customWidth="1"/>
    <col min="11784" max="11784" width="7.42578125" customWidth="1"/>
    <col min="11785" max="11786" width="10.7109375" customWidth="1"/>
    <col min="11789" max="11789" width="7.85546875" customWidth="1"/>
    <col min="11790" max="11790" width="8.42578125" customWidth="1"/>
    <col min="11791" max="11791" width="8.28515625" customWidth="1"/>
    <col min="11797" max="11797" width="7.140625" customWidth="1"/>
    <col min="12033" max="12033" width="21" customWidth="1"/>
    <col min="12034" max="12034" width="6.42578125" customWidth="1"/>
    <col min="12035" max="12035" width="8.140625" customWidth="1"/>
    <col min="12036" max="12036" width="7.140625" customWidth="1"/>
    <col min="12037" max="12037" width="8.7109375" customWidth="1"/>
    <col min="12038" max="12038" width="7.42578125" customWidth="1"/>
    <col min="12039" max="12039" width="8.5703125" customWidth="1"/>
    <col min="12040" max="12040" width="7.42578125" customWidth="1"/>
    <col min="12041" max="12042" width="10.7109375" customWidth="1"/>
    <col min="12045" max="12045" width="7.85546875" customWidth="1"/>
    <col min="12046" max="12046" width="8.42578125" customWidth="1"/>
    <col min="12047" max="12047" width="8.28515625" customWidth="1"/>
    <col min="12053" max="12053" width="7.140625" customWidth="1"/>
    <col min="12289" max="12289" width="21" customWidth="1"/>
    <col min="12290" max="12290" width="6.42578125" customWidth="1"/>
    <col min="12291" max="12291" width="8.140625" customWidth="1"/>
    <col min="12292" max="12292" width="7.140625" customWidth="1"/>
    <col min="12293" max="12293" width="8.7109375" customWidth="1"/>
    <col min="12294" max="12294" width="7.42578125" customWidth="1"/>
    <col min="12295" max="12295" width="8.5703125" customWidth="1"/>
    <col min="12296" max="12296" width="7.42578125" customWidth="1"/>
    <col min="12297" max="12298" width="10.7109375" customWidth="1"/>
    <col min="12301" max="12301" width="7.85546875" customWidth="1"/>
    <col min="12302" max="12302" width="8.42578125" customWidth="1"/>
    <col min="12303" max="12303" width="8.28515625" customWidth="1"/>
    <col min="12309" max="12309" width="7.140625" customWidth="1"/>
    <col min="12545" max="12545" width="21" customWidth="1"/>
    <col min="12546" max="12546" width="6.42578125" customWidth="1"/>
    <col min="12547" max="12547" width="8.140625" customWidth="1"/>
    <col min="12548" max="12548" width="7.140625" customWidth="1"/>
    <col min="12549" max="12549" width="8.7109375" customWidth="1"/>
    <col min="12550" max="12550" width="7.42578125" customWidth="1"/>
    <col min="12551" max="12551" width="8.5703125" customWidth="1"/>
    <col min="12552" max="12552" width="7.42578125" customWidth="1"/>
    <col min="12553" max="12554" width="10.7109375" customWidth="1"/>
    <col min="12557" max="12557" width="7.85546875" customWidth="1"/>
    <col min="12558" max="12558" width="8.42578125" customWidth="1"/>
    <col min="12559" max="12559" width="8.28515625" customWidth="1"/>
    <col min="12565" max="12565" width="7.140625" customWidth="1"/>
    <col min="12801" max="12801" width="21" customWidth="1"/>
    <col min="12802" max="12802" width="6.42578125" customWidth="1"/>
    <col min="12803" max="12803" width="8.140625" customWidth="1"/>
    <col min="12804" max="12804" width="7.140625" customWidth="1"/>
    <col min="12805" max="12805" width="8.7109375" customWidth="1"/>
    <col min="12806" max="12806" width="7.42578125" customWidth="1"/>
    <col min="12807" max="12807" width="8.5703125" customWidth="1"/>
    <col min="12808" max="12808" width="7.42578125" customWidth="1"/>
    <col min="12809" max="12810" width="10.7109375" customWidth="1"/>
    <col min="12813" max="12813" width="7.85546875" customWidth="1"/>
    <col min="12814" max="12814" width="8.42578125" customWidth="1"/>
    <col min="12815" max="12815" width="8.28515625" customWidth="1"/>
    <col min="12821" max="12821" width="7.140625" customWidth="1"/>
    <col min="13057" max="13057" width="21" customWidth="1"/>
    <col min="13058" max="13058" width="6.42578125" customWidth="1"/>
    <col min="13059" max="13059" width="8.140625" customWidth="1"/>
    <col min="13060" max="13060" width="7.140625" customWidth="1"/>
    <col min="13061" max="13061" width="8.7109375" customWidth="1"/>
    <col min="13062" max="13062" width="7.42578125" customWidth="1"/>
    <col min="13063" max="13063" width="8.5703125" customWidth="1"/>
    <col min="13064" max="13064" width="7.42578125" customWidth="1"/>
    <col min="13065" max="13066" width="10.7109375" customWidth="1"/>
    <col min="13069" max="13069" width="7.85546875" customWidth="1"/>
    <col min="13070" max="13070" width="8.42578125" customWidth="1"/>
    <col min="13071" max="13071" width="8.28515625" customWidth="1"/>
    <col min="13077" max="13077" width="7.140625" customWidth="1"/>
    <col min="13313" max="13313" width="21" customWidth="1"/>
    <col min="13314" max="13314" width="6.42578125" customWidth="1"/>
    <col min="13315" max="13315" width="8.140625" customWidth="1"/>
    <col min="13316" max="13316" width="7.140625" customWidth="1"/>
    <col min="13317" max="13317" width="8.7109375" customWidth="1"/>
    <col min="13318" max="13318" width="7.42578125" customWidth="1"/>
    <col min="13319" max="13319" width="8.5703125" customWidth="1"/>
    <col min="13320" max="13320" width="7.42578125" customWidth="1"/>
    <col min="13321" max="13322" width="10.7109375" customWidth="1"/>
    <col min="13325" max="13325" width="7.85546875" customWidth="1"/>
    <col min="13326" max="13326" width="8.42578125" customWidth="1"/>
    <col min="13327" max="13327" width="8.28515625" customWidth="1"/>
    <col min="13333" max="13333" width="7.140625" customWidth="1"/>
    <col min="13569" max="13569" width="21" customWidth="1"/>
    <col min="13570" max="13570" width="6.42578125" customWidth="1"/>
    <col min="13571" max="13571" width="8.140625" customWidth="1"/>
    <col min="13572" max="13572" width="7.140625" customWidth="1"/>
    <col min="13573" max="13573" width="8.7109375" customWidth="1"/>
    <col min="13574" max="13574" width="7.42578125" customWidth="1"/>
    <col min="13575" max="13575" width="8.5703125" customWidth="1"/>
    <col min="13576" max="13576" width="7.42578125" customWidth="1"/>
    <col min="13577" max="13578" width="10.7109375" customWidth="1"/>
    <col min="13581" max="13581" width="7.85546875" customWidth="1"/>
    <col min="13582" max="13582" width="8.42578125" customWidth="1"/>
    <col min="13583" max="13583" width="8.28515625" customWidth="1"/>
    <col min="13589" max="13589" width="7.140625" customWidth="1"/>
    <col min="13825" max="13825" width="21" customWidth="1"/>
    <col min="13826" max="13826" width="6.42578125" customWidth="1"/>
    <col min="13827" max="13827" width="8.140625" customWidth="1"/>
    <col min="13828" max="13828" width="7.140625" customWidth="1"/>
    <col min="13829" max="13829" width="8.7109375" customWidth="1"/>
    <col min="13830" max="13830" width="7.42578125" customWidth="1"/>
    <col min="13831" max="13831" width="8.5703125" customWidth="1"/>
    <col min="13832" max="13832" width="7.42578125" customWidth="1"/>
    <col min="13833" max="13834" width="10.7109375" customWidth="1"/>
    <col min="13837" max="13837" width="7.85546875" customWidth="1"/>
    <col min="13838" max="13838" width="8.42578125" customWidth="1"/>
    <col min="13839" max="13839" width="8.28515625" customWidth="1"/>
    <col min="13845" max="13845" width="7.140625" customWidth="1"/>
    <col min="14081" max="14081" width="21" customWidth="1"/>
    <col min="14082" max="14082" width="6.42578125" customWidth="1"/>
    <col min="14083" max="14083" width="8.140625" customWidth="1"/>
    <col min="14084" max="14084" width="7.140625" customWidth="1"/>
    <col min="14085" max="14085" width="8.7109375" customWidth="1"/>
    <col min="14086" max="14086" width="7.42578125" customWidth="1"/>
    <col min="14087" max="14087" width="8.5703125" customWidth="1"/>
    <col min="14088" max="14088" width="7.42578125" customWidth="1"/>
    <col min="14089" max="14090" width="10.7109375" customWidth="1"/>
    <col min="14093" max="14093" width="7.85546875" customWidth="1"/>
    <col min="14094" max="14094" width="8.42578125" customWidth="1"/>
    <col min="14095" max="14095" width="8.28515625" customWidth="1"/>
    <col min="14101" max="14101" width="7.140625" customWidth="1"/>
    <col min="14337" max="14337" width="21" customWidth="1"/>
    <col min="14338" max="14338" width="6.42578125" customWidth="1"/>
    <col min="14339" max="14339" width="8.140625" customWidth="1"/>
    <col min="14340" max="14340" width="7.140625" customWidth="1"/>
    <col min="14341" max="14341" width="8.7109375" customWidth="1"/>
    <col min="14342" max="14342" width="7.42578125" customWidth="1"/>
    <col min="14343" max="14343" width="8.5703125" customWidth="1"/>
    <col min="14344" max="14344" width="7.42578125" customWidth="1"/>
    <col min="14345" max="14346" width="10.7109375" customWidth="1"/>
    <col min="14349" max="14349" width="7.85546875" customWidth="1"/>
    <col min="14350" max="14350" width="8.42578125" customWidth="1"/>
    <col min="14351" max="14351" width="8.28515625" customWidth="1"/>
    <col min="14357" max="14357" width="7.140625" customWidth="1"/>
    <col min="14593" max="14593" width="21" customWidth="1"/>
    <col min="14594" max="14594" width="6.42578125" customWidth="1"/>
    <col min="14595" max="14595" width="8.140625" customWidth="1"/>
    <col min="14596" max="14596" width="7.140625" customWidth="1"/>
    <col min="14597" max="14597" width="8.7109375" customWidth="1"/>
    <col min="14598" max="14598" width="7.42578125" customWidth="1"/>
    <col min="14599" max="14599" width="8.5703125" customWidth="1"/>
    <col min="14600" max="14600" width="7.42578125" customWidth="1"/>
    <col min="14601" max="14602" width="10.7109375" customWidth="1"/>
    <col min="14605" max="14605" width="7.85546875" customWidth="1"/>
    <col min="14606" max="14606" width="8.42578125" customWidth="1"/>
    <col min="14607" max="14607" width="8.28515625" customWidth="1"/>
    <col min="14613" max="14613" width="7.140625" customWidth="1"/>
    <col min="14849" max="14849" width="21" customWidth="1"/>
    <col min="14850" max="14850" width="6.42578125" customWidth="1"/>
    <col min="14851" max="14851" width="8.140625" customWidth="1"/>
    <col min="14852" max="14852" width="7.140625" customWidth="1"/>
    <col min="14853" max="14853" width="8.7109375" customWidth="1"/>
    <col min="14854" max="14854" width="7.42578125" customWidth="1"/>
    <col min="14855" max="14855" width="8.5703125" customWidth="1"/>
    <col min="14856" max="14856" width="7.42578125" customWidth="1"/>
    <col min="14857" max="14858" width="10.7109375" customWidth="1"/>
    <col min="14861" max="14861" width="7.85546875" customWidth="1"/>
    <col min="14862" max="14862" width="8.42578125" customWidth="1"/>
    <col min="14863" max="14863" width="8.28515625" customWidth="1"/>
    <col min="14869" max="14869" width="7.140625" customWidth="1"/>
    <col min="15105" max="15105" width="21" customWidth="1"/>
    <col min="15106" max="15106" width="6.42578125" customWidth="1"/>
    <col min="15107" max="15107" width="8.140625" customWidth="1"/>
    <col min="15108" max="15108" width="7.140625" customWidth="1"/>
    <col min="15109" max="15109" width="8.7109375" customWidth="1"/>
    <col min="15110" max="15110" width="7.42578125" customWidth="1"/>
    <col min="15111" max="15111" width="8.5703125" customWidth="1"/>
    <col min="15112" max="15112" width="7.42578125" customWidth="1"/>
    <col min="15113" max="15114" width="10.7109375" customWidth="1"/>
    <col min="15117" max="15117" width="7.85546875" customWidth="1"/>
    <col min="15118" max="15118" width="8.42578125" customWidth="1"/>
    <col min="15119" max="15119" width="8.28515625" customWidth="1"/>
    <col min="15125" max="15125" width="7.140625" customWidth="1"/>
    <col min="15361" max="15361" width="21" customWidth="1"/>
    <col min="15362" max="15362" width="6.42578125" customWidth="1"/>
    <col min="15363" max="15363" width="8.140625" customWidth="1"/>
    <col min="15364" max="15364" width="7.140625" customWidth="1"/>
    <col min="15365" max="15365" width="8.7109375" customWidth="1"/>
    <col min="15366" max="15366" width="7.42578125" customWidth="1"/>
    <col min="15367" max="15367" width="8.5703125" customWidth="1"/>
    <col min="15368" max="15368" width="7.42578125" customWidth="1"/>
    <col min="15369" max="15370" width="10.7109375" customWidth="1"/>
    <col min="15373" max="15373" width="7.85546875" customWidth="1"/>
    <col min="15374" max="15374" width="8.42578125" customWidth="1"/>
    <col min="15375" max="15375" width="8.28515625" customWidth="1"/>
    <col min="15381" max="15381" width="7.140625" customWidth="1"/>
    <col min="15617" max="15617" width="21" customWidth="1"/>
    <col min="15618" max="15618" width="6.42578125" customWidth="1"/>
    <col min="15619" max="15619" width="8.140625" customWidth="1"/>
    <col min="15620" max="15620" width="7.140625" customWidth="1"/>
    <col min="15621" max="15621" width="8.7109375" customWidth="1"/>
    <col min="15622" max="15622" width="7.42578125" customWidth="1"/>
    <col min="15623" max="15623" width="8.5703125" customWidth="1"/>
    <col min="15624" max="15624" width="7.42578125" customWidth="1"/>
    <col min="15625" max="15626" width="10.7109375" customWidth="1"/>
    <col min="15629" max="15629" width="7.85546875" customWidth="1"/>
    <col min="15630" max="15630" width="8.42578125" customWidth="1"/>
    <col min="15631" max="15631" width="8.28515625" customWidth="1"/>
    <col min="15637" max="15637" width="7.140625" customWidth="1"/>
    <col min="15873" max="15873" width="21" customWidth="1"/>
    <col min="15874" max="15874" width="6.42578125" customWidth="1"/>
    <col min="15875" max="15875" width="8.140625" customWidth="1"/>
    <col min="15876" max="15876" width="7.140625" customWidth="1"/>
    <col min="15877" max="15877" width="8.7109375" customWidth="1"/>
    <col min="15878" max="15878" width="7.42578125" customWidth="1"/>
    <col min="15879" max="15879" width="8.5703125" customWidth="1"/>
    <col min="15880" max="15880" width="7.42578125" customWidth="1"/>
    <col min="15881" max="15882" width="10.7109375" customWidth="1"/>
    <col min="15885" max="15885" width="7.85546875" customWidth="1"/>
    <col min="15886" max="15886" width="8.42578125" customWidth="1"/>
    <col min="15887" max="15887" width="8.28515625" customWidth="1"/>
    <col min="15893" max="15893" width="7.140625" customWidth="1"/>
    <col min="16129" max="16129" width="21" customWidth="1"/>
    <col min="16130" max="16130" width="6.42578125" customWidth="1"/>
    <col min="16131" max="16131" width="8.140625" customWidth="1"/>
    <col min="16132" max="16132" width="7.140625" customWidth="1"/>
    <col min="16133" max="16133" width="8.7109375" customWidth="1"/>
    <col min="16134" max="16134" width="7.42578125" customWidth="1"/>
    <col min="16135" max="16135" width="8.5703125" customWidth="1"/>
    <col min="16136" max="16136" width="7.42578125" customWidth="1"/>
    <col min="16137" max="16138" width="10.7109375" customWidth="1"/>
    <col min="16141" max="16141" width="7.85546875" customWidth="1"/>
    <col min="16142" max="16142" width="8.42578125" customWidth="1"/>
    <col min="16143" max="16143" width="8.28515625" customWidth="1"/>
    <col min="16149" max="16149" width="7.140625" customWidth="1"/>
  </cols>
  <sheetData>
    <row r="2" spans="1:21" x14ac:dyDescent="0.25">
      <c r="A2" s="400" t="s">
        <v>750</v>
      </c>
      <c r="B2" s="400"/>
      <c r="C2" s="400"/>
      <c r="D2" s="400"/>
      <c r="E2" s="400"/>
      <c r="F2" s="400"/>
      <c r="G2" s="400"/>
      <c r="H2" s="400"/>
      <c r="I2" s="400"/>
      <c r="J2" s="77"/>
      <c r="K2" s="78"/>
    </row>
    <row r="3" spans="1:21" ht="31.5" customHeight="1" x14ac:dyDescent="0.25">
      <c r="A3" s="401" t="s">
        <v>751</v>
      </c>
      <c r="B3" s="402"/>
      <c r="C3" s="402"/>
      <c r="D3" s="402"/>
      <c r="E3" s="402"/>
      <c r="F3" s="402"/>
      <c r="G3" s="402"/>
      <c r="H3" s="402"/>
      <c r="I3" s="402"/>
      <c r="J3" s="79"/>
      <c r="K3" s="78"/>
    </row>
    <row r="4" spans="1:21" x14ac:dyDescent="0.25">
      <c r="A4" s="78"/>
      <c r="B4" s="78"/>
      <c r="C4" s="78"/>
      <c r="D4" s="78"/>
      <c r="E4" s="78"/>
      <c r="F4" s="78"/>
      <c r="G4" s="78"/>
      <c r="H4" s="78"/>
      <c r="I4" s="78"/>
      <c r="J4" s="78"/>
      <c r="K4" s="80"/>
      <c r="L4" s="81"/>
      <c r="M4" s="81"/>
      <c r="N4" s="81"/>
      <c r="O4" s="81"/>
      <c r="P4" s="81"/>
      <c r="Q4" s="81"/>
      <c r="R4" s="81"/>
      <c r="S4" s="81"/>
      <c r="T4" s="81"/>
      <c r="U4" s="81"/>
    </row>
    <row r="5" spans="1:21" ht="49.5" customHeight="1" x14ac:dyDescent="0.25">
      <c r="A5" s="403" t="s">
        <v>752</v>
      </c>
      <c r="B5" s="398" t="s">
        <v>753</v>
      </c>
      <c r="C5" s="406"/>
      <c r="D5" s="407"/>
      <c r="E5" s="398" t="s">
        <v>754</v>
      </c>
      <c r="F5" s="399"/>
      <c r="G5" s="408" t="s">
        <v>755</v>
      </c>
      <c r="H5" s="409"/>
      <c r="I5" s="403" t="s">
        <v>756</v>
      </c>
      <c r="J5" s="82"/>
      <c r="K5" s="83"/>
      <c r="L5" s="391"/>
      <c r="M5" s="393"/>
      <c r="N5" s="393"/>
      <c r="O5" s="393"/>
      <c r="P5" s="393"/>
      <c r="Q5" s="394"/>
      <c r="R5" s="395"/>
      <c r="S5" s="395"/>
      <c r="T5" s="391"/>
      <c r="U5" s="81"/>
    </row>
    <row r="6" spans="1:21" ht="15" customHeight="1" x14ac:dyDescent="0.25">
      <c r="A6" s="404"/>
      <c r="B6" s="396" t="s">
        <v>757</v>
      </c>
      <c r="C6" s="398" t="s">
        <v>758</v>
      </c>
      <c r="D6" s="399"/>
      <c r="E6" s="84">
        <v>194.03</v>
      </c>
      <c r="F6" s="84">
        <v>289.60000000000002</v>
      </c>
      <c r="G6" s="85">
        <v>5.5E-2</v>
      </c>
      <c r="H6" s="86">
        <v>0.11</v>
      </c>
      <c r="I6" s="404"/>
      <c r="J6" s="82"/>
      <c r="K6" s="83"/>
      <c r="L6" s="391"/>
      <c r="M6" s="393"/>
      <c r="N6" s="393"/>
      <c r="O6" s="394"/>
      <c r="P6" s="87"/>
      <c r="Q6" s="87"/>
      <c r="R6" s="88"/>
      <c r="S6" s="89"/>
      <c r="T6" s="391"/>
      <c r="U6" s="81"/>
    </row>
    <row r="7" spans="1:21" ht="77.25" x14ac:dyDescent="0.25">
      <c r="A7" s="405"/>
      <c r="B7" s="397"/>
      <c r="C7" s="90" t="s">
        <v>759</v>
      </c>
      <c r="D7" s="90" t="s">
        <v>760</v>
      </c>
      <c r="E7" s="90" t="s">
        <v>759</v>
      </c>
      <c r="F7" s="90" t="s">
        <v>760</v>
      </c>
      <c r="G7" s="90" t="s">
        <v>759</v>
      </c>
      <c r="H7" s="90" t="s">
        <v>760</v>
      </c>
      <c r="I7" s="410"/>
      <c r="J7" s="82"/>
      <c r="K7" s="83"/>
      <c r="L7" s="392"/>
      <c r="M7" s="393"/>
      <c r="N7" s="91"/>
      <c r="O7" s="91"/>
      <c r="P7" s="91"/>
      <c r="Q7" s="91"/>
      <c r="R7" s="91"/>
      <c r="S7" s="91"/>
      <c r="T7" s="391"/>
      <c r="U7" s="81"/>
    </row>
    <row r="8" spans="1:21" x14ac:dyDescent="0.25">
      <c r="A8" s="92">
        <v>1</v>
      </c>
      <c r="B8" s="93">
        <v>2</v>
      </c>
      <c r="C8" s="93">
        <v>3</v>
      </c>
      <c r="D8" s="93">
        <v>4</v>
      </c>
      <c r="E8" s="93">
        <v>5</v>
      </c>
      <c r="F8" s="93">
        <v>6</v>
      </c>
      <c r="G8" s="93">
        <v>7</v>
      </c>
      <c r="H8" s="93">
        <v>8</v>
      </c>
      <c r="I8" s="93">
        <v>9</v>
      </c>
      <c r="J8" s="94"/>
      <c r="K8" s="80"/>
      <c r="L8" s="94"/>
      <c r="M8" s="94"/>
      <c r="N8" s="94"/>
      <c r="O8" s="94"/>
      <c r="P8" s="94"/>
      <c r="Q8" s="94"/>
      <c r="R8" s="94"/>
      <c r="S8" s="94"/>
      <c r="T8" s="94"/>
      <c r="U8" s="81"/>
    </row>
    <row r="9" spans="1:21" ht="13.5" customHeight="1" x14ac:dyDescent="0.25">
      <c r="A9" s="95" t="s">
        <v>761</v>
      </c>
      <c r="B9" s="96">
        <f t="shared" ref="B9:B24" si="0">+C9+D9</f>
        <v>16.899999999999999</v>
      </c>
      <c r="C9" s="96">
        <v>11.4</v>
      </c>
      <c r="D9" s="96">
        <v>5.5</v>
      </c>
      <c r="E9" s="96">
        <f>E6*C9</f>
        <v>2211.942</v>
      </c>
      <c r="F9" s="97">
        <f>F6*D9</f>
        <v>1592.8000000000002</v>
      </c>
      <c r="G9" s="97">
        <f>E9*5.5%</f>
        <v>121.65681000000001</v>
      </c>
      <c r="H9" s="97">
        <f>F9*11%</f>
        <v>175.20800000000003</v>
      </c>
      <c r="I9" s="97">
        <f>G9+H9</f>
        <v>296.86481000000003</v>
      </c>
      <c r="J9" s="98"/>
      <c r="K9" s="80"/>
      <c r="L9" s="80"/>
      <c r="M9" s="80"/>
      <c r="N9" s="80"/>
      <c r="O9" s="80"/>
      <c r="P9" s="80"/>
      <c r="Q9" s="98"/>
      <c r="R9" s="98"/>
      <c r="S9" s="98"/>
      <c r="T9" s="98"/>
      <c r="U9" s="81"/>
    </row>
    <row r="10" spans="1:21" ht="15" customHeight="1" x14ac:dyDescent="0.25">
      <c r="A10" s="95" t="s">
        <v>762</v>
      </c>
      <c r="B10" s="96">
        <f t="shared" si="0"/>
        <v>12.6</v>
      </c>
      <c r="C10" s="96">
        <v>12.6</v>
      </c>
      <c r="D10" s="96">
        <v>0</v>
      </c>
      <c r="E10" s="97">
        <f>E6*C10</f>
        <v>2444.7779999999998</v>
      </c>
      <c r="F10" s="97">
        <f>F6*D10</f>
        <v>0</v>
      </c>
      <c r="G10" s="97">
        <f t="shared" ref="G10:G24" si="1">E10*5.5%</f>
        <v>134.46278999999998</v>
      </c>
      <c r="H10" s="97">
        <f t="shared" ref="H10:H24" si="2">F10*11%</f>
        <v>0</v>
      </c>
      <c r="I10" s="97">
        <f t="shared" ref="I10:I19" si="3">G10+H10</f>
        <v>134.46278999999998</v>
      </c>
      <c r="J10" s="98"/>
      <c r="K10" s="80"/>
      <c r="L10" s="80"/>
      <c r="M10" s="80"/>
      <c r="N10" s="80"/>
      <c r="O10" s="80"/>
      <c r="P10" s="98"/>
      <c r="Q10" s="98"/>
      <c r="R10" s="98"/>
      <c r="S10" s="98"/>
      <c r="T10" s="98"/>
      <c r="U10" s="81"/>
    </row>
    <row r="11" spans="1:21" x14ac:dyDescent="0.25">
      <c r="A11" s="95" t="s">
        <v>763</v>
      </c>
      <c r="B11" s="96">
        <f t="shared" si="0"/>
        <v>23.6</v>
      </c>
      <c r="C11" s="96">
        <v>19.600000000000001</v>
      </c>
      <c r="D11" s="96">
        <v>4</v>
      </c>
      <c r="E11" s="97">
        <f>E6*C11</f>
        <v>3802.9880000000003</v>
      </c>
      <c r="F11" s="97">
        <f>F6*D11</f>
        <v>1158.4000000000001</v>
      </c>
      <c r="G11" s="97">
        <f t="shared" si="1"/>
        <v>209.16434000000001</v>
      </c>
      <c r="H11" s="97">
        <f t="shared" si="2"/>
        <v>127.42400000000001</v>
      </c>
      <c r="I11" s="97">
        <f t="shared" si="3"/>
        <v>336.58834000000002</v>
      </c>
      <c r="J11" s="98"/>
      <c r="K11" s="80"/>
      <c r="L11" s="80"/>
      <c r="M11" s="80"/>
      <c r="N11" s="80"/>
      <c r="O11" s="80"/>
      <c r="P11" s="98"/>
      <c r="Q11" s="98"/>
      <c r="R11" s="98"/>
      <c r="S11" s="98"/>
      <c r="T11" s="98"/>
      <c r="U11" s="81"/>
    </row>
    <row r="12" spans="1:21" x14ac:dyDescent="0.25">
      <c r="A12" s="95" t="s">
        <v>764</v>
      </c>
      <c r="B12" s="96">
        <f t="shared" si="0"/>
        <v>14.9</v>
      </c>
      <c r="C12" s="96">
        <v>14.9</v>
      </c>
      <c r="D12" s="96"/>
      <c r="E12" s="97">
        <f>E6*C12</f>
        <v>2891.047</v>
      </c>
      <c r="F12" s="97">
        <f>F6*D12</f>
        <v>0</v>
      </c>
      <c r="G12" s="97">
        <f t="shared" si="1"/>
        <v>159.00758500000001</v>
      </c>
      <c r="H12" s="97">
        <f t="shared" si="2"/>
        <v>0</v>
      </c>
      <c r="I12" s="97">
        <f t="shared" si="3"/>
        <v>159.00758500000001</v>
      </c>
      <c r="J12" s="98"/>
      <c r="K12" s="80"/>
      <c r="L12" s="80"/>
      <c r="M12" s="80"/>
      <c r="N12" s="80"/>
      <c r="O12" s="80"/>
      <c r="P12" s="98"/>
      <c r="Q12" s="98"/>
      <c r="R12" s="98"/>
      <c r="S12" s="98"/>
      <c r="T12" s="98"/>
      <c r="U12" s="81"/>
    </row>
    <row r="13" spans="1:21" x14ac:dyDescent="0.25">
      <c r="A13" s="95" t="s">
        <v>765</v>
      </c>
      <c r="B13" s="96">
        <f t="shared" si="0"/>
        <v>56.2</v>
      </c>
      <c r="C13" s="96">
        <v>55.7</v>
      </c>
      <c r="D13" s="96">
        <v>0.5</v>
      </c>
      <c r="E13" s="97">
        <f>E6*C13</f>
        <v>10807.471000000001</v>
      </c>
      <c r="F13" s="97">
        <f>F6*D13</f>
        <v>144.80000000000001</v>
      </c>
      <c r="G13" s="97">
        <f t="shared" si="1"/>
        <v>594.41090500000007</v>
      </c>
      <c r="H13" s="97">
        <f t="shared" si="2"/>
        <v>15.928000000000001</v>
      </c>
      <c r="I13" s="97">
        <f t="shared" si="3"/>
        <v>610.33890500000007</v>
      </c>
      <c r="J13" s="98"/>
      <c r="K13" s="80"/>
      <c r="L13" s="80"/>
      <c r="M13" s="80"/>
      <c r="N13" s="80"/>
      <c r="O13" s="80"/>
      <c r="P13" s="98"/>
      <c r="Q13" s="98"/>
      <c r="R13" s="98"/>
      <c r="S13" s="98"/>
      <c r="T13" s="98"/>
      <c r="U13" s="81"/>
    </row>
    <row r="14" spans="1:21" x14ac:dyDescent="0.25">
      <c r="A14" s="95" t="s">
        <v>766</v>
      </c>
      <c r="B14" s="96">
        <f t="shared" si="0"/>
        <v>20.8</v>
      </c>
      <c r="C14" s="96">
        <v>20.100000000000001</v>
      </c>
      <c r="D14" s="96">
        <v>0.7</v>
      </c>
      <c r="E14" s="97">
        <f>E6*C14</f>
        <v>3900.0030000000002</v>
      </c>
      <c r="F14" s="97">
        <f>F6*D14</f>
        <v>202.72</v>
      </c>
      <c r="G14" s="97">
        <f t="shared" si="1"/>
        <v>214.50016500000001</v>
      </c>
      <c r="H14" s="97">
        <f t="shared" si="2"/>
        <v>22.299199999999999</v>
      </c>
      <c r="I14" s="97">
        <f t="shared" si="3"/>
        <v>236.79936500000002</v>
      </c>
      <c r="J14" s="98"/>
      <c r="K14" s="80"/>
      <c r="L14" s="80"/>
      <c r="M14" s="80"/>
      <c r="N14" s="80"/>
      <c r="O14" s="80"/>
      <c r="P14" s="98"/>
      <c r="Q14" s="98"/>
      <c r="R14" s="98"/>
      <c r="S14" s="98"/>
      <c r="T14" s="98"/>
      <c r="U14" s="81"/>
    </row>
    <row r="15" spans="1:21" ht="15.75" customHeight="1" x14ac:dyDescent="0.25">
      <c r="A15" s="95" t="s">
        <v>767</v>
      </c>
      <c r="B15" s="96">
        <f t="shared" si="0"/>
        <v>36.6</v>
      </c>
      <c r="C15" s="96">
        <v>33</v>
      </c>
      <c r="D15" s="96">
        <v>3.6</v>
      </c>
      <c r="E15" s="97">
        <f>E6*C15</f>
        <v>6402.99</v>
      </c>
      <c r="F15" s="97">
        <f>F6*D15</f>
        <v>1042.5600000000002</v>
      </c>
      <c r="G15" s="97">
        <f t="shared" si="1"/>
        <v>352.16444999999999</v>
      </c>
      <c r="H15" s="97">
        <f t="shared" si="2"/>
        <v>114.68160000000002</v>
      </c>
      <c r="I15" s="97">
        <f t="shared" si="3"/>
        <v>466.84604999999999</v>
      </c>
      <c r="J15" s="98"/>
      <c r="K15" s="80"/>
      <c r="L15" s="80"/>
      <c r="M15" s="80"/>
      <c r="N15" s="80"/>
      <c r="O15" s="80"/>
      <c r="P15" s="98"/>
      <c r="Q15" s="98"/>
      <c r="R15" s="98"/>
      <c r="S15" s="98"/>
      <c r="T15" s="98"/>
      <c r="U15" s="81"/>
    </row>
    <row r="16" spans="1:21" ht="30" x14ac:dyDescent="0.25">
      <c r="A16" s="99" t="s">
        <v>768</v>
      </c>
      <c r="B16" s="96">
        <f t="shared" si="0"/>
        <v>25.15</v>
      </c>
      <c r="C16" s="96">
        <v>19.649999999999999</v>
      </c>
      <c r="D16" s="96">
        <v>5.5</v>
      </c>
      <c r="E16" s="97">
        <f>E6*C16</f>
        <v>3812.6895</v>
      </c>
      <c r="F16" s="97">
        <f>F6*D16</f>
        <v>1592.8000000000002</v>
      </c>
      <c r="G16" s="97">
        <f t="shared" si="1"/>
        <v>209.6979225</v>
      </c>
      <c r="H16" s="97">
        <f t="shared" si="2"/>
        <v>175.20800000000003</v>
      </c>
      <c r="I16" s="97">
        <f t="shared" si="3"/>
        <v>384.90592250000003</v>
      </c>
      <c r="J16" s="98"/>
      <c r="K16" s="80"/>
      <c r="L16" s="100"/>
      <c r="M16" s="80"/>
      <c r="N16" s="80"/>
      <c r="O16" s="80"/>
      <c r="P16" s="98"/>
      <c r="Q16" s="98"/>
      <c r="R16" s="98"/>
      <c r="S16" s="98"/>
      <c r="T16" s="98"/>
      <c r="U16" s="81"/>
    </row>
    <row r="17" spans="1:21" x14ac:dyDescent="0.25">
      <c r="A17" s="95" t="s">
        <v>769</v>
      </c>
      <c r="B17" s="96">
        <f t="shared" si="0"/>
        <v>32</v>
      </c>
      <c r="C17" s="96">
        <v>26.9</v>
      </c>
      <c r="D17" s="96">
        <v>5.0999999999999996</v>
      </c>
      <c r="E17" s="97">
        <f>E6*C17</f>
        <v>5219.4070000000002</v>
      </c>
      <c r="F17" s="97">
        <f>F6*D17</f>
        <v>1476.96</v>
      </c>
      <c r="G17" s="97">
        <f t="shared" si="1"/>
        <v>287.067385</v>
      </c>
      <c r="H17" s="97">
        <f t="shared" si="2"/>
        <v>162.46559999999999</v>
      </c>
      <c r="I17" s="97">
        <f t="shared" si="3"/>
        <v>449.532985</v>
      </c>
      <c r="J17" s="98"/>
      <c r="K17" s="80"/>
      <c r="L17" s="80"/>
      <c r="M17" s="80"/>
      <c r="N17" s="80"/>
      <c r="O17" s="80"/>
      <c r="P17" s="98"/>
      <c r="Q17" s="98"/>
      <c r="R17" s="98"/>
      <c r="S17" s="98"/>
      <c r="T17" s="98"/>
      <c r="U17" s="81"/>
    </row>
    <row r="18" spans="1:21" x14ac:dyDescent="0.25">
      <c r="A18" s="95" t="s">
        <v>770</v>
      </c>
      <c r="B18" s="96">
        <f t="shared" si="0"/>
        <v>46.72</v>
      </c>
      <c r="C18" s="96">
        <v>46.72</v>
      </c>
      <c r="D18" s="96"/>
      <c r="E18" s="97">
        <f>E6*C18</f>
        <v>9065.0815999999995</v>
      </c>
      <c r="F18" s="97">
        <f>F6*D18</f>
        <v>0</v>
      </c>
      <c r="G18" s="97">
        <f t="shared" si="1"/>
        <v>498.57948799999997</v>
      </c>
      <c r="H18" s="97">
        <f t="shared" si="2"/>
        <v>0</v>
      </c>
      <c r="I18" s="97">
        <f t="shared" si="3"/>
        <v>498.57948799999997</v>
      </c>
      <c r="J18" s="98"/>
      <c r="K18" s="80"/>
      <c r="L18" s="80"/>
      <c r="M18" s="80"/>
      <c r="N18" s="80"/>
      <c r="O18" s="80"/>
      <c r="P18" s="98"/>
      <c r="Q18" s="98"/>
      <c r="R18" s="98"/>
      <c r="S18" s="98"/>
      <c r="T18" s="98"/>
      <c r="U18" s="81"/>
    </row>
    <row r="19" spans="1:21" x14ac:dyDescent="0.25">
      <c r="A19" s="95" t="s">
        <v>771</v>
      </c>
      <c r="B19" s="96">
        <f t="shared" si="0"/>
        <v>33.1</v>
      </c>
      <c r="C19" s="96">
        <v>31.9</v>
      </c>
      <c r="D19" s="96">
        <v>1.2</v>
      </c>
      <c r="E19" s="97">
        <f>E6*C19</f>
        <v>6189.5569999999998</v>
      </c>
      <c r="F19" s="97">
        <f>F6*D19</f>
        <v>347.52000000000004</v>
      </c>
      <c r="G19" s="97">
        <f t="shared" si="1"/>
        <v>340.425635</v>
      </c>
      <c r="H19" s="97">
        <f t="shared" si="2"/>
        <v>38.227200000000003</v>
      </c>
      <c r="I19" s="97">
        <f t="shared" si="3"/>
        <v>378.65283499999998</v>
      </c>
      <c r="J19" s="98"/>
      <c r="K19" s="80"/>
      <c r="L19" s="80"/>
      <c r="M19" s="80"/>
      <c r="N19" s="80"/>
      <c r="O19" s="80"/>
      <c r="P19" s="98"/>
      <c r="Q19" s="98"/>
      <c r="R19" s="98"/>
      <c r="S19" s="98"/>
      <c r="T19" s="98"/>
      <c r="U19" s="81"/>
    </row>
    <row r="20" spans="1:21" x14ac:dyDescent="0.25">
      <c r="A20" s="95" t="s">
        <v>772</v>
      </c>
      <c r="B20" s="96">
        <f t="shared" si="0"/>
        <v>34.18</v>
      </c>
      <c r="C20" s="96">
        <v>22.2</v>
      </c>
      <c r="D20" s="96">
        <v>11.98</v>
      </c>
      <c r="E20" s="97">
        <f>E6*C20</f>
        <v>4307.4659999999994</v>
      </c>
      <c r="F20" s="97">
        <f>F6*D20</f>
        <v>3469.4080000000004</v>
      </c>
      <c r="G20" s="97">
        <f t="shared" si="1"/>
        <v>236.91062999999997</v>
      </c>
      <c r="H20" s="97">
        <f t="shared" si="2"/>
        <v>381.63488000000007</v>
      </c>
      <c r="I20" s="97">
        <v>1088.4000000000001</v>
      </c>
      <c r="J20" s="98"/>
      <c r="K20" s="80"/>
      <c r="L20" s="80"/>
      <c r="M20" s="80"/>
      <c r="N20" s="80"/>
      <c r="O20" s="80"/>
      <c r="P20" s="98"/>
      <c r="Q20" s="98"/>
      <c r="R20" s="98"/>
      <c r="S20" s="98"/>
      <c r="T20" s="98"/>
      <c r="U20" s="81"/>
    </row>
    <row r="21" spans="1:21" x14ac:dyDescent="0.25">
      <c r="A21" s="95" t="s">
        <v>773</v>
      </c>
      <c r="B21" s="96">
        <f t="shared" si="0"/>
        <v>23.5</v>
      </c>
      <c r="C21" s="96">
        <v>22.6</v>
      </c>
      <c r="D21" s="96">
        <v>0.9</v>
      </c>
      <c r="E21" s="97">
        <f>E6*C21</f>
        <v>4385.0780000000004</v>
      </c>
      <c r="F21" s="97">
        <f>F6*D21</f>
        <v>260.64000000000004</v>
      </c>
      <c r="G21" s="97">
        <f t="shared" si="1"/>
        <v>241.17929000000004</v>
      </c>
      <c r="H21" s="97">
        <f t="shared" si="2"/>
        <v>28.670400000000004</v>
      </c>
      <c r="I21" s="97">
        <f>G21+H21</f>
        <v>269.84969000000007</v>
      </c>
      <c r="J21" s="98"/>
      <c r="K21" s="80"/>
      <c r="L21" s="80"/>
      <c r="M21" s="80"/>
      <c r="N21" s="80"/>
      <c r="O21" s="80"/>
      <c r="P21" s="98"/>
      <c r="Q21" s="98"/>
      <c r="R21" s="98"/>
      <c r="S21" s="98"/>
      <c r="T21" s="98"/>
      <c r="U21" s="81"/>
    </row>
    <row r="22" spans="1:21" x14ac:dyDescent="0.25">
      <c r="A22" s="95" t="s">
        <v>774</v>
      </c>
      <c r="B22" s="96">
        <f t="shared" si="0"/>
        <v>18.05</v>
      </c>
      <c r="C22" s="96">
        <v>17.05</v>
      </c>
      <c r="D22" s="96">
        <v>1</v>
      </c>
      <c r="E22" s="97">
        <f>E6*C22</f>
        <v>3308.2115000000003</v>
      </c>
      <c r="F22" s="97">
        <f>F6*D22</f>
        <v>289.60000000000002</v>
      </c>
      <c r="G22" s="97">
        <f t="shared" si="1"/>
        <v>181.95163250000002</v>
      </c>
      <c r="H22" s="97">
        <f t="shared" si="2"/>
        <v>31.856000000000002</v>
      </c>
      <c r="I22" s="97">
        <f>G22+H22</f>
        <v>213.80763250000001</v>
      </c>
      <c r="J22" s="98"/>
      <c r="K22" s="80"/>
      <c r="L22" s="80"/>
      <c r="M22" s="80"/>
      <c r="N22" s="80"/>
      <c r="O22" s="80"/>
      <c r="P22" s="98"/>
      <c r="Q22" s="98"/>
      <c r="R22" s="98"/>
      <c r="S22" s="98"/>
      <c r="T22" s="98"/>
      <c r="U22" s="81"/>
    </row>
    <row r="23" spans="1:21" x14ac:dyDescent="0.25">
      <c r="A23" s="95" t="s">
        <v>775</v>
      </c>
      <c r="B23" s="96">
        <f t="shared" si="0"/>
        <v>33</v>
      </c>
      <c r="C23" s="96">
        <v>29</v>
      </c>
      <c r="D23" s="96">
        <v>4</v>
      </c>
      <c r="E23" s="97">
        <f>E6*C23</f>
        <v>5626.87</v>
      </c>
      <c r="F23" s="97">
        <f>F6*D23</f>
        <v>1158.4000000000001</v>
      </c>
      <c r="G23" s="97">
        <f t="shared" si="1"/>
        <v>309.47784999999999</v>
      </c>
      <c r="H23" s="97">
        <f t="shared" si="2"/>
        <v>127.42400000000001</v>
      </c>
      <c r="I23" s="97">
        <f>G23+H23</f>
        <v>436.90184999999997</v>
      </c>
      <c r="J23" s="98"/>
      <c r="K23" s="80"/>
      <c r="L23" s="80"/>
      <c r="M23" s="80"/>
      <c r="N23" s="80"/>
      <c r="O23" s="80"/>
      <c r="P23" s="98"/>
      <c r="Q23" s="98"/>
      <c r="R23" s="98"/>
      <c r="S23" s="98"/>
      <c r="T23" s="98"/>
      <c r="U23" s="81"/>
    </row>
    <row r="24" spans="1:21" x14ac:dyDescent="0.25">
      <c r="A24" s="95" t="s">
        <v>776</v>
      </c>
      <c r="B24" s="96">
        <f t="shared" si="0"/>
        <v>41.6</v>
      </c>
      <c r="C24" s="96">
        <v>40.6</v>
      </c>
      <c r="D24" s="96">
        <v>1</v>
      </c>
      <c r="E24" s="97">
        <f>E6*C24</f>
        <v>7877.6180000000004</v>
      </c>
      <c r="F24" s="97">
        <f>F6*D24</f>
        <v>289.60000000000002</v>
      </c>
      <c r="G24" s="97">
        <f t="shared" si="1"/>
        <v>433.26899000000003</v>
      </c>
      <c r="H24" s="97">
        <f t="shared" si="2"/>
        <v>31.856000000000002</v>
      </c>
      <c r="I24" s="97">
        <f>G24+H24</f>
        <v>465.12499000000003</v>
      </c>
      <c r="J24" s="98"/>
      <c r="K24" s="80"/>
      <c r="L24" s="80"/>
      <c r="M24" s="80"/>
      <c r="N24" s="80"/>
      <c r="O24" s="80"/>
      <c r="P24" s="98"/>
      <c r="Q24" s="98"/>
      <c r="R24" s="98"/>
      <c r="S24" s="98"/>
      <c r="T24" s="98"/>
      <c r="U24" s="81"/>
    </row>
    <row r="25" spans="1:21" x14ac:dyDescent="0.25">
      <c r="A25" s="95"/>
      <c r="B25" s="96"/>
      <c r="C25" s="96"/>
      <c r="D25" s="96"/>
      <c r="E25" s="96"/>
      <c r="F25" s="96"/>
      <c r="G25" s="96"/>
      <c r="H25" s="96"/>
      <c r="I25" s="97"/>
      <c r="J25" s="98"/>
      <c r="K25" s="80"/>
      <c r="L25" s="80"/>
      <c r="M25" s="80"/>
      <c r="N25" s="80"/>
      <c r="O25" s="80"/>
      <c r="P25" s="80"/>
      <c r="Q25" s="80"/>
      <c r="R25" s="80"/>
      <c r="S25" s="80"/>
      <c r="T25" s="98"/>
      <c r="U25" s="81"/>
    </row>
    <row r="26" spans="1:21" x14ac:dyDescent="0.25">
      <c r="A26" s="95" t="s">
        <v>777</v>
      </c>
      <c r="B26" s="96">
        <f>SUM(B9:B25)</f>
        <v>468.90000000000009</v>
      </c>
      <c r="C26" s="96">
        <f>B26-D26</f>
        <v>423.92000000000007</v>
      </c>
      <c r="D26" s="96">
        <f>SUM(D9:D25)</f>
        <v>44.98</v>
      </c>
      <c r="E26" s="97">
        <f>SUM(E9:E25)</f>
        <v>82253.1976</v>
      </c>
      <c r="F26" s="97">
        <f>SUM(F9:F25)</f>
        <v>13026.208000000001</v>
      </c>
      <c r="G26" s="97">
        <f>E26*2.5%</f>
        <v>2056.3299400000001</v>
      </c>
      <c r="H26" s="97">
        <f>F26*5%</f>
        <v>651.31040000000007</v>
      </c>
      <c r="I26" s="97">
        <f>SUM(I9:I25)</f>
        <v>6426.6632380000001</v>
      </c>
      <c r="J26" s="98"/>
      <c r="K26" s="80"/>
      <c r="L26" s="80"/>
      <c r="M26" s="80"/>
      <c r="N26" s="80"/>
      <c r="O26" s="80"/>
      <c r="P26" s="98"/>
      <c r="Q26" s="98"/>
      <c r="R26" s="98"/>
      <c r="S26" s="98"/>
      <c r="T26" s="98"/>
      <c r="U26" s="81"/>
    </row>
    <row r="27" spans="1:21" x14ac:dyDescent="0.25"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</row>
    <row r="28" spans="1:21" ht="17.25" customHeight="1" x14ac:dyDescent="0.25">
      <c r="A28" s="388" t="s">
        <v>778</v>
      </c>
      <c r="B28" s="389"/>
      <c r="C28" s="389"/>
      <c r="D28" s="389"/>
      <c r="E28" s="389"/>
      <c r="F28" s="389"/>
      <c r="G28" s="389"/>
      <c r="H28" s="389"/>
      <c r="I28" s="389"/>
      <c r="J28" s="10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</row>
    <row r="29" spans="1:21" ht="32.25" customHeight="1" x14ac:dyDescent="0.25">
      <c r="A29" s="388" t="s">
        <v>779</v>
      </c>
      <c r="B29" s="389"/>
      <c r="C29" s="389"/>
      <c r="D29" s="389"/>
      <c r="E29" s="389"/>
      <c r="F29" s="389"/>
      <c r="G29" s="389"/>
      <c r="H29" s="389"/>
      <c r="I29" s="389"/>
      <c r="J29" s="10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</row>
    <row r="30" spans="1:21" ht="39" customHeight="1" x14ac:dyDescent="0.25">
      <c r="A30" s="390" t="s">
        <v>780</v>
      </c>
      <c r="B30" s="390"/>
      <c r="C30" s="390"/>
      <c r="D30" s="390"/>
      <c r="E30" s="390"/>
      <c r="F30" s="390"/>
      <c r="G30" s="390"/>
      <c r="H30" s="390"/>
      <c r="I30" s="390"/>
      <c r="J30" s="102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</row>
    <row r="31" spans="1:21" x14ac:dyDescent="0.25"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</row>
    <row r="32" spans="1:21" x14ac:dyDescent="0.25"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</row>
    <row r="33" spans="11:21" x14ac:dyDescent="0.25"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</row>
    <row r="34" spans="11:21" x14ac:dyDescent="0.25"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</row>
    <row r="35" spans="11:21" x14ac:dyDescent="0.25"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</row>
    <row r="36" spans="11:21" x14ac:dyDescent="0.25"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</row>
    <row r="37" spans="11:21" x14ac:dyDescent="0.25"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</row>
    <row r="38" spans="11:21" x14ac:dyDescent="0.25"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</row>
    <row r="39" spans="11:21" x14ac:dyDescent="0.25"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</row>
    <row r="40" spans="11:21" x14ac:dyDescent="0.25"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</row>
    <row r="41" spans="11:21" x14ac:dyDescent="0.25"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</row>
  </sheetData>
  <mergeCells count="19">
    <mergeCell ref="A2:I2"/>
    <mergeCell ref="A3:I3"/>
    <mergeCell ref="A5:A7"/>
    <mergeCell ref="B5:D5"/>
    <mergeCell ref="E5:F5"/>
    <mergeCell ref="G5:H5"/>
    <mergeCell ref="I5:I7"/>
    <mergeCell ref="P5:Q5"/>
    <mergeCell ref="R5:S5"/>
    <mergeCell ref="T5:T7"/>
    <mergeCell ref="B6:B7"/>
    <mergeCell ref="C6:D6"/>
    <mergeCell ref="M6:M7"/>
    <mergeCell ref="N6:O6"/>
    <mergeCell ref="A28:I28"/>
    <mergeCell ref="A29:I29"/>
    <mergeCell ref="A30:I30"/>
    <mergeCell ref="L5:L7"/>
    <mergeCell ref="M5:O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D95AD-DD2C-4221-9E6E-A4DC2C32C955}">
  <sheetPr>
    <pageSetUpPr fitToPage="1"/>
  </sheetPr>
  <dimension ref="A1:AB291"/>
  <sheetViews>
    <sheetView topLeftCell="A165" zoomScale="64" zoomScaleNormal="64" workbookViewId="0">
      <selection activeCell="J107" sqref="J107"/>
    </sheetView>
  </sheetViews>
  <sheetFormatPr defaultColWidth="26.7109375" defaultRowHeight="23.25" x14ac:dyDescent="0.35"/>
  <cols>
    <col min="1" max="1" width="8.42578125" style="8" customWidth="1"/>
    <col min="2" max="2" width="56" style="8" customWidth="1"/>
    <col min="3" max="3" width="87.85546875" style="8" customWidth="1"/>
    <col min="4" max="4" width="38.85546875" style="8" bestFit="1" customWidth="1"/>
    <col min="5" max="5" width="23.7109375" style="15" customWidth="1"/>
    <col min="6" max="6" width="15.28515625" style="8" customWidth="1"/>
    <col min="7" max="7" width="14.85546875" style="15" customWidth="1"/>
    <col min="8" max="8" width="20" style="8" customWidth="1"/>
    <col min="9" max="9" width="14" style="15" customWidth="1"/>
    <col min="10" max="10" width="17.42578125" style="169" customWidth="1"/>
    <col min="11" max="11" width="18.7109375" style="8" hidden="1" customWidth="1"/>
    <col min="12" max="13" width="17.7109375" style="8" hidden="1" customWidth="1"/>
    <col min="14" max="14" width="28.5703125" style="8" hidden="1" customWidth="1"/>
    <col min="15" max="20" width="26.7109375" style="8" hidden="1" customWidth="1"/>
    <col min="21" max="21" width="26.7109375" style="8"/>
    <col min="22" max="25" width="26.7109375" style="8" hidden="1" customWidth="1"/>
    <col min="26" max="26" width="0" style="8" hidden="1" customWidth="1"/>
    <col min="27" max="16384" width="26.7109375" style="8"/>
  </cols>
  <sheetData>
    <row r="1" spans="1:28" ht="45" x14ac:dyDescent="0.35">
      <c r="A1" s="6" t="s">
        <v>0</v>
      </c>
      <c r="B1" s="6" t="s">
        <v>1</v>
      </c>
      <c r="C1" s="6" t="s">
        <v>2</v>
      </c>
      <c r="D1" s="6" t="s">
        <v>536</v>
      </c>
      <c r="E1" s="6" t="s">
        <v>3</v>
      </c>
      <c r="F1" s="7" t="s">
        <v>528</v>
      </c>
      <c r="G1" s="7" t="s">
        <v>529</v>
      </c>
      <c r="H1" s="7" t="s">
        <v>527</v>
      </c>
      <c r="I1" s="7" t="s">
        <v>535</v>
      </c>
      <c r="J1" s="164" t="s">
        <v>799</v>
      </c>
      <c r="K1" s="7" t="s">
        <v>556</v>
      </c>
      <c r="L1" s="7" t="s">
        <v>559</v>
      </c>
      <c r="M1" s="7" t="s">
        <v>798</v>
      </c>
      <c r="N1" s="7" t="s">
        <v>565</v>
      </c>
      <c r="O1" s="7" t="s">
        <v>566</v>
      </c>
      <c r="P1" s="7" t="s">
        <v>568</v>
      </c>
      <c r="Q1" s="7" t="s">
        <v>794</v>
      </c>
      <c r="R1" s="7" t="s">
        <v>795</v>
      </c>
      <c r="S1" s="7" t="s">
        <v>806</v>
      </c>
      <c r="T1" s="7" t="s">
        <v>805</v>
      </c>
      <c r="V1" s="168"/>
      <c r="W1" s="8">
        <v>2025</v>
      </c>
      <c r="X1" s="8">
        <v>2026</v>
      </c>
      <c r="Y1" s="8">
        <v>2027</v>
      </c>
      <c r="Z1" s="8">
        <v>2028</v>
      </c>
      <c r="AA1" s="8">
        <v>2029</v>
      </c>
      <c r="AB1" s="8">
        <v>2030</v>
      </c>
    </row>
    <row r="2" spans="1:28" hidden="1" x14ac:dyDescent="0.35">
      <c r="A2" s="9">
        <v>1</v>
      </c>
      <c r="B2" s="9" t="s">
        <v>4</v>
      </c>
      <c r="C2" s="9" t="s">
        <v>5</v>
      </c>
      <c r="D2" s="9" t="s">
        <v>547</v>
      </c>
      <c r="E2" s="9">
        <f>Таблица17[[#This Row],[Грунт]]+Таблица17[[#This Row],[Щебень]]+Таблица17[[#This Row],[Асфальт]]+Таблица17[[#This Row],[Бетон]]</f>
        <v>1.75</v>
      </c>
      <c r="F2" s="104"/>
      <c r="G2" s="105"/>
      <c r="H2" s="106">
        <v>1.75</v>
      </c>
      <c r="I2" s="107"/>
      <c r="J2" s="165"/>
      <c r="K2" s="10" t="s">
        <v>557</v>
      </c>
      <c r="N2" s="8" t="b">
        <f>OR(Таблица17[[#This Row],[Щебень]]&gt;0,Таблица17[[#This Row],[Асфальт]]&gt;0,Таблица17[[#This Row],[Бетон]]&gt;0)</f>
        <v>1</v>
      </c>
      <c r="O2" s="8">
        <v>1</v>
      </c>
      <c r="P2" s="8">
        <v>1</v>
      </c>
      <c r="V2" s="168"/>
    </row>
    <row r="3" spans="1:28" ht="36" x14ac:dyDescent="0.35">
      <c r="A3" s="171">
        <v>2</v>
      </c>
      <c r="B3" s="171" t="s">
        <v>6</v>
      </c>
      <c r="C3" s="171" t="s">
        <v>7</v>
      </c>
      <c r="D3" s="171" t="s">
        <v>547</v>
      </c>
      <c r="E3" s="171">
        <f>Таблица17[[#This Row],[Грунт]]+Таблица17[[#This Row],[Щебень]]+Таблица17[[#This Row],[Асфальт]]+Таблица17[[#This Row],[Бетон]]</f>
        <v>0.7</v>
      </c>
      <c r="F3" s="172"/>
      <c r="G3" s="173"/>
      <c r="H3" s="174">
        <v>0.7</v>
      </c>
      <c r="I3" s="175"/>
      <c r="J3" s="176" t="s">
        <v>801</v>
      </c>
      <c r="K3" s="10" t="s">
        <v>557</v>
      </c>
      <c r="N3" s="8" t="b">
        <f>OR(Таблица17[[#This Row],[Щебень]]&gt;0,Таблица17[[#This Row],[Асфальт]]&gt;0,Таблица17[[#This Row],[Бетон]]&gt;0)</f>
        <v>1</v>
      </c>
      <c r="O3" s="8">
        <v>1</v>
      </c>
      <c r="P3" s="8">
        <v>1</v>
      </c>
      <c r="V3" s="168"/>
      <c r="W3" s="8">
        <f>W18+W40+W61+W91+W127</f>
        <v>13.1</v>
      </c>
      <c r="X3" s="8">
        <f>X26+X78+X107+X214+X215+X218+X220+X231+X235</f>
        <v>13.650000000000002</v>
      </c>
      <c r="Y3" s="8">
        <f>U3+Y112+Y145+Y159+Y160+Y161+Y162+Y165+Y207+Y208+Y209+Y188</f>
        <v>12.02</v>
      </c>
      <c r="Z3" s="8">
        <f>Z141+Z212+Z213+Z258+Z268+Z269</f>
        <v>12.7</v>
      </c>
    </row>
    <row r="4" spans="1:28" ht="36" hidden="1" x14ac:dyDescent="0.35">
      <c r="A4" s="171">
        <v>3</v>
      </c>
      <c r="B4" s="171" t="s">
        <v>8</v>
      </c>
      <c r="C4" s="171" t="s">
        <v>9</v>
      </c>
      <c r="D4" s="171" t="s">
        <v>547</v>
      </c>
      <c r="E4" s="171">
        <f>Таблица17[[#This Row],[Грунт]]+Таблица17[[#This Row],[Щебень]]+Таблица17[[#This Row],[Асфальт]]+Таблица17[[#This Row],[Бетон]]</f>
        <v>0.8</v>
      </c>
      <c r="F4" s="172">
        <v>0.8</v>
      </c>
      <c r="G4" s="173"/>
      <c r="H4" s="174"/>
      <c r="I4" s="175"/>
      <c r="J4" s="176"/>
      <c r="N4" s="8" t="b">
        <f>OR(Таблица17[[#This Row],[Щебень]]&gt;0,Таблица17[[#This Row],[Асфальт]]&gt;0,Таблица17[[#This Row],[Бетон]]&gt;0)</f>
        <v>0</v>
      </c>
      <c r="U4" s="8">
        <f>Таблица17[[#This Row],[Бетон]]+Таблица17[[#This Row],[Асфальт]]+Таблица17[[#This Row],[Щебень]]</f>
        <v>0</v>
      </c>
      <c r="V4" s="168"/>
    </row>
    <row r="5" spans="1:28" ht="36" x14ac:dyDescent="0.35">
      <c r="A5" s="171">
        <v>4</v>
      </c>
      <c r="B5" s="171" t="s">
        <v>10</v>
      </c>
      <c r="C5" s="171" t="s">
        <v>11</v>
      </c>
      <c r="D5" s="171" t="s">
        <v>547</v>
      </c>
      <c r="E5" s="171">
        <f>Таблица17[[#This Row],[Грунт]]+Таблица17[[#This Row],[Щебень]]+Таблица17[[#This Row],[Асфальт]]+Таблица17[[#This Row],[Бетон]]</f>
        <v>0.2</v>
      </c>
      <c r="F5" s="172">
        <v>0.2</v>
      </c>
      <c r="G5" s="173"/>
      <c r="H5" s="174"/>
      <c r="I5" s="175"/>
      <c r="J5" s="176" t="s">
        <v>801</v>
      </c>
      <c r="N5" s="8" t="b">
        <f>OR(Таблица17[[#This Row],[Щебень]]&gt;0,Таблица17[[#This Row],[Асфальт]]&gt;0,Таблица17[[#This Row],[Бетон]]&gt;0)</f>
        <v>0</v>
      </c>
      <c r="U5" s="8">
        <f>Таблица17[[#This Row],[Бетон]]+Таблица17[[#This Row],[Асфальт]]+Таблица17[[#This Row],[Щебень]]</f>
        <v>0</v>
      </c>
      <c r="V5" s="168"/>
    </row>
    <row r="6" spans="1:28" ht="36" hidden="1" x14ac:dyDescent="0.35">
      <c r="A6" s="171">
        <v>5</v>
      </c>
      <c r="B6" s="171" t="s">
        <v>12</v>
      </c>
      <c r="C6" s="171" t="s">
        <v>13</v>
      </c>
      <c r="D6" s="171" t="s">
        <v>537</v>
      </c>
      <c r="E6" s="171">
        <f>Таблица17[[#This Row],[Грунт]]+Таблица17[[#This Row],[Щебень]]+Таблица17[[#This Row],[Асфальт]]+Таблица17[[#This Row],[Бетон]]</f>
        <v>2</v>
      </c>
      <c r="F6" s="172">
        <v>2</v>
      </c>
      <c r="G6" s="173"/>
      <c r="H6" s="174"/>
      <c r="I6" s="175"/>
      <c r="J6" s="176"/>
      <c r="K6" s="10" t="s">
        <v>557</v>
      </c>
      <c r="N6" s="8" t="b">
        <f>OR(Таблица17[[#This Row],[Щебень]]&gt;0,Таблица17[[#This Row],[Асфальт]]&gt;0,Таблица17[[#This Row],[Бетон]]&gt;0)</f>
        <v>0</v>
      </c>
      <c r="U6" s="8">
        <f>Таблица17[[#This Row],[Бетон]]+Таблица17[[#This Row],[Асфальт]]+Таблица17[[#This Row],[Щебень]]</f>
        <v>0</v>
      </c>
      <c r="V6" s="168"/>
    </row>
    <row r="7" spans="1:28" ht="36" hidden="1" x14ac:dyDescent="0.35">
      <c r="A7" s="171">
        <v>6</v>
      </c>
      <c r="B7" s="171" t="s">
        <v>14</v>
      </c>
      <c r="C7" s="171" t="s">
        <v>555</v>
      </c>
      <c r="D7" s="171" t="s">
        <v>537</v>
      </c>
      <c r="E7" s="171">
        <f>Таблица17[[#This Row],[Грунт]]+Таблица17[[#This Row],[Щебень]]+Таблица17[[#This Row],[Асфальт]]+Таблица17[[#This Row],[Бетон]]</f>
        <v>3.5</v>
      </c>
      <c r="F7" s="172">
        <v>3.5</v>
      </c>
      <c r="G7" s="173"/>
      <c r="H7" s="174"/>
      <c r="I7" s="175"/>
      <c r="J7" s="176"/>
      <c r="N7" s="8" t="b">
        <f>OR(Таблица17[[#This Row],[Щебень]]&gt;0,Таблица17[[#This Row],[Асфальт]]&gt;0,Таблица17[[#This Row],[Бетон]]&gt;0)</f>
        <v>0</v>
      </c>
      <c r="U7" s="8">
        <f>Таблица17[[#This Row],[Бетон]]+Таблица17[[#This Row],[Асфальт]]+Таблица17[[#This Row],[Щебень]]</f>
        <v>0</v>
      </c>
      <c r="V7" s="168"/>
    </row>
    <row r="8" spans="1:28" ht="36" hidden="1" x14ac:dyDescent="0.35">
      <c r="A8" s="171">
        <v>7</v>
      </c>
      <c r="B8" s="171" t="s">
        <v>15</v>
      </c>
      <c r="C8" s="171" t="s">
        <v>16</v>
      </c>
      <c r="D8" s="171" t="s">
        <v>549</v>
      </c>
      <c r="E8" s="171">
        <f>Таблица17[[#This Row],[Грунт]]+Таблица17[[#This Row],[Щебень]]+Таблица17[[#This Row],[Асфальт]]+Таблица17[[#This Row],[Бетон]]</f>
        <v>3.5</v>
      </c>
      <c r="F8" s="172">
        <v>3.5</v>
      </c>
      <c r="G8" s="173"/>
      <c r="H8" s="174"/>
      <c r="I8" s="175"/>
      <c r="J8" s="176"/>
      <c r="N8" s="8" t="b">
        <f>OR(Таблица17[[#This Row],[Щебень]]&gt;0,Таблица17[[#This Row],[Асфальт]]&gt;0,Таблица17[[#This Row],[Бетон]]&gt;0)</f>
        <v>0</v>
      </c>
      <c r="U8" s="8">
        <f>Таблица17[[#This Row],[Бетон]]+Таблица17[[#This Row],[Асфальт]]+Таблица17[[#This Row],[Щебень]]</f>
        <v>0</v>
      </c>
      <c r="V8" s="168"/>
    </row>
    <row r="9" spans="1:28" ht="70.5" hidden="1" x14ac:dyDescent="0.35">
      <c r="A9" s="171">
        <v>8</v>
      </c>
      <c r="B9" s="171" t="s">
        <v>17</v>
      </c>
      <c r="C9" s="171" t="s">
        <v>18</v>
      </c>
      <c r="D9" s="171" t="s">
        <v>549</v>
      </c>
      <c r="E9" s="171">
        <f>Таблица17[[#This Row],[Грунт]]+Таблица17[[#This Row],[Щебень]]+Таблица17[[#This Row],[Асфальт]]+Таблица17[[#This Row],[Бетон]]</f>
        <v>1.5</v>
      </c>
      <c r="F9" s="172">
        <v>1.5</v>
      </c>
      <c r="G9" s="173"/>
      <c r="H9" s="174"/>
      <c r="I9" s="175"/>
      <c r="J9" s="176"/>
      <c r="N9" s="8" t="b">
        <f>OR(Таблица17[[#This Row],[Щебень]]&gt;0,Таблица17[[#This Row],[Асфальт]]&gt;0,Таблица17[[#This Row],[Бетон]]&gt;0)</f>
        <v>0</v>
      </c>
      <c r="U9" s="8">
        <f>Таблица17[[#This Row],[Бетон]]+Таблица17[[#This Row],[Асфальт]]+Таблица17[[#This Row],[Щебень]]</f>
        <v>0</v>
      </c>
      <c r="V9" s="168"/>
    </row>
    <row r="10" spans="1:28" ht="36" hidden="1" x14ac:dyDescent="0.35">
      <c r="A10" s="171">
        <v>9</v>
      </c>
      <c r="B10" s="171" t="s">
        <v>19</v>
      </c>
      <c r="C10" s="171" t="s">
        <v>20</v>
      </c>
      <c r="D10" s="171" t="s">
        <v>549</v>
      </c>
      <c r="E10" s="171">
        <f>Таблица17[[#This Row],[Грунт]]+Таблица17[[#This Row],[Щебень]]+Таблица17[[#This Row],[Асфальт]]+Таблица17[[#This Row],[Бетон]]</f>
        <v>1.5</v>
      </c>
      <c r="F10" s="172">
        <v>1.5</v>
      </c>
      <c r="G10" s="173"/>
      <c r="H10" s="174"/>
      <c r="I10" s="175"/>
      <c r="J10" s="176"/>
      <c r="N10" s="8" t="b">
        <f>OR(Таблица17[[#This Row],[Щебень]]&gt;0,Таблица17[[#This Row],[Асфальт]]&gt;0,Таблица17[[#This Row],[Бетон]]&gt;0)</f>
        <v>0</v>
      </c>
      <c r="U10" s="8">
        <f>Таблица17[[#This Row],[Бетон]]+Таблица17[[#This Row],[Асфальт]]+Таблица17[[#This Row],[Щебень]]</f>
        <v>0</v>
      </c>
      <c r="V10" s="168"/>
    </row>
    <row r="11" spans="1:28" ht="36" hidden="1" x14ac:dyDescent="0.35">
      <c r="A11" s="171">
        <v>10</v>
      </c>
      <c r="B11" s="171" t="s">
        <v>21</v>
      </c>
      <c r="C11" s="171" t="s">
        <v>22</v>
      </c>
      <c r="D11" s="171" t="s">
        <v>549</v>
      </c>
      <c r="E11" s="171">
        <f>Таблица17[[#This Row],[Грунт]]+Таблица17[[#This Row],[Щебень]]+Таблица17[[#This Row],[Асфальт]]+Таблица17[[#This Row],[Бетон]]</f>
        <v>1</v>
      </c>
      <c r="F11" s="172">
        <v>1</v>
      </c>
      <c r="G11" s="173"/>
      <c r="H11" s="174"/>
      <c r="I11" s="175"/>
      <c r="J11" s="176"/>
      <c r="N11" s="8" t="b">
        <f>OR(Таблица17[[#This Row],[Щебень]]&gt;0,Таблица17[[#This Row],[Асфальт]]&gt;0,Таблица17[[#This Row],[Бетон]]&gt;0)</f>
        <v>0</v>
      </c>
      <c r="U11" s="8">
        <f>Таблица17[[#This Row],[Бетон]]+Таблица17[[#This Row],[Асфальт]]+Таблица17[[#This Row],[Щебень]]</f>
        <v>0</v>
      </c>
      <c r="V11" s="168"/>
    </row>
    <row r="12" spans="1:28" ht="70.5" hidden="1" x14ac:dyDescent="0.35">
      <c r="A12" s="171">
        <v>11</v>
      </c>
      <c r="B12" s="171" t="s">
        <v>23</v>
      </c>
      <c r="C12" s="171" t="s">
        <v>24</v>
      </c>
      <c r="D12" s="171" t="s">
        <v>549</v>
      </c>
      <c r="E12" s="171">
        <f>Таблица17[[#This Row],[Грунт]]+Таблица17[[#This Row],[Щебень]]+Таблица17[[#This Row],[Асфальт]]+Таблица17[[#This Row],[Бетон]]</f>
        <v>0.5</v>
      </c>
      <c r="F12" s="172">
        <v>0.5</v>
      </c>
      <c r="G12" s="173"/>
      <c r="H12" s="174"/>
      <c r="I12" s="175"/>
      <c r="J12" s="176"/>
      <c r="N12" s="8" t="b">
        <f>OR(Таблица17[[#This Row],[Щебень]]&gt;0,Таблица17[[#This Row],[Асфальт]]&gt;0,Таблица17[[#This Row],[Бетон]]&gt;0)</f>
        <v>0</v>
      </c>
      <c r="U12" s="8">
        <f>Таблица17[[#This Row],[Бетон]]+Таблица17[[#This Row],[Асфальт]]+Таблица17[[#This Row],[Щебень]]</f>
        <v>0</v>
      </c>
      <c r="V12" s="168"/>
    </row>
    <row r="13" spans="1:28" ht="36" hidden="1" x14ac:dyDescent="0.35">
      <c r="A13" s="171">
        <v>12</v>
      </c>
      <c r="B13" s="171" t="s">
        <v>25</v>
      </c>
      <c r="C13" s="171" t="s">
        <v>26</v>
      </c>
      <c r="D13" s="171" t="s">
        <v>549</v>
      </c>
      <c r="E13" s="171">
        <f>Таблица17[[#This Row],[Грунт]]+Таблица17[[#This Row],[Щебень]]+Таблица17[[#This Row],[Асфальт]]+Таблица17[[#This Row],[Бетон]]</f>
        <v>3.5</v>
      </c>
      <c r="F13" s="172">
        <v>3.5</v>
      </c>
      <c r="G13" s="173"/>
      <c r="H13" s="174"/>
      <c r="I13" s="175"/>
      <c r="J13" s="176"/>
      <c r="N13" s="8" t="b">
        <f>OR(Таблица17[[#This Row],[Щебень]]&gt;0,Таблица17[[#This Row],[Асфальт]]&gt;0,Таблица17[[#This Row],[Бетон]]&gt;0)</f>
        <v>0</v>
      </c>
      <c r="U13" s="8">
        <f>Таблица17[[#This Row],[Бетон]]+Таблица17[[#This Row],[Асфальт]]+Таблица17[[#This Row],[Щебень]]</f>
        <v>0</v>
      </c>
      <c r="V13" s="168"/>
    </row>
    <row r="14" spans="1:28" ht="36" hidden="1" x14ac:dyDescent="0.35">
      <c r="A14" s="171">
        <v>13</v>
      </c>
      <c r="B14" s="171" t="s">
        <v>27</v>
      </c>
      <c r="C14" s="171" t="s">
        <v>28</v>
      </c>
      <c r="D14" s="171" t="s">
        <v>544</v>
      </c>
      <c r="E14" s="171">
        <f>Таблица17[[#This Row],[Грунт]]+Таблица17[[#This Row],[Щебень]]+Таблица17[[#This Row],[Асфальт]]+Таблица17[[#This Row],[Бетон]]</f>
        <v>2</v>
      </c>
      <c r="F14" s="172">
        <v>2</v>
      </c>
      <c r="G14" s="173"/>
      <c r="H14" s="174"/>
      <c r="I14" s="175"/>
      <c r="J14" s="176"/>
      <c r="N14" s="8" t="b">
        <f>OR(Таблица17[[#This Row],[Щебень]]&gt;0,Таблица17[[#This Row],[Асфальт]]&gt;0,Таблица17[[#This Row],[Бетон]]&gt;0)</f>
        <v>0</v>
      </c>
      <c r="U14" s="8">
        <f>Таблица17[[#This Row],[Бетон]]+Таблица17[[#This Row],[Асфальт]]+Таблица17[[#This Row],[Щебень]]</f>
        <v>0</v>
      </c>
      <c r="V14" s="168"/>
    </row>
    <row r="15" spans="1:28" ht="36" hidden="1" x14ac:dyDescent="0.35">
      <c r="A15" s="171">
        <v>14</v>
      </c>
      <c r="B15" s="171" t="s">
        <v>29</v>
      </c>
      <c r="C15" s="171" t="s">
        <v>30</v>
      </c>
      <c r="D15" s="171" t="s">
        <v>544</v>
      </c>
      <c r="E15" s="171">
        <f>Таблица17[[#This Row],[Грунт]]+Таблица17[[#This Row],[Щебень]]+Таблица17[[#This Row],[Асфальт]]+Таблица17[[#This Row],[Бетон]]</f>
        <v>2</v>
      </c>
      <c r="F15" s="172">
        <v>2</v>
      </c>
      <c r="G15" s="173"/>
      <c r="H15" s="174"/>
      <c r="I15" s="175"/>
      <c r="J15" s="176"/>
      <c r="N15" s="8" t="b">
        <f>OR(Таблица17[[#This Row],[Щебень]]&gt;0,Таблица17[[#This Row],[Асфальт]]&gt;0,Таблица17[[#This Row],[Бетон]]&gt;0)</f>
        <v>0</v>
      </c>
      <c r="U15" s="8">
        <f>Таблица17[[#This Row],[Бетон]]+Таблица17[[#This Row],[Асфальт]]+Таблица17[[#This Row],[Щебень]]</f>
        <v>0</v>
      </c>
      <c r="V15" s="168"/>
    </row>
    <row r="16" spans="1:28" ht="36" hidden="1" x14ac:dyDescent="0.35">
      <c r="A16" s="171">
        <v>15</v>
      </c>
      <c r="B16" s="171" t="s">
        <v>31</v>
      </c>
      <c r="C16" s="171" t="s">
        <v>32</v>
      </c>
      <c r="D16" s="171" t="s">
        <v>544</v>
      </c>
      <c r="E16" s="171">
        <f>Таблица17[[#This Row],[Грунт]]+Таблица17[[#This Row],[Щебень]]+Таблица17[[#This Row],[Асфальт]]+Таблица17[[#This Row],[Бетон]]</f>
        <v>2.5</v>
      </c>
      <c r="F16" s="172">
        <v>2.15</v>
      </c>
      <c r="G16" s="173">
        <v>0.35</v>
      </c>
      <c r="H16" s="174"/>
      <c r="I16" s="175"/>
      <c r="J16" s="176"/>
      <c r="N16" s="8" t="b">
        <f>OR(Таблица17[[#This Row],[Щебень]]&gt;0,Таблица17[[#This Row],[Асфальт]]&gt;0,Таблица17[[#This Row],[Бетон]]&gt;0)</f>
        <v>1</v>
      </c>
      <c r="U16" s="8">
        <f>Таблица17[[#This Row],[Бетон]]+Таблица17[[#This Row],[Асфальт]]+Таблица17[[#This Row],[Щебень]]</f>
        <v>0.35</v>
      </c>
      <c r="V16" s="168"/>
    </row>
    <row r="17" spans="1:24" ht="36" hidden="1" x14ac:dyDescent="0.35">
      <c r="A17" s="171">
        <v>16</v>
      </c>
      <c r="B17" s="171" t="s">
        <v>33</v>
      </c>
      <c r="C17" s="171" t="s">
        <v>34</v>
      </c>
      <c r="D17" s="171" t="s">
        <v>544</v>
      </c>
      <c r="E17" s="171">
        <f>Таблица17[[#This Row],[Грунт]]+Таблица17[[#This Row],[Щебень]]+Таблица17[[#This Row],[Асфальт]]+Таблица17[[#This Row],[Бетон]]</f>
        <v>2</v>
      </c>
      <c r="F17" s="172">
        <v>1.4</v>
      </c>
      <c r="G17" s="173">
        <v>0.6</v>
      </c>
      <c r="H17" s="174"/>
      <c r="I17" s="175"/>
      <c r="J17" s="176"/>
      <c r="N17" s="8" t="b">
        <f>OR(Таблица17[[#This Row],[Щебень]]&gt;0,Таблица17[[#This Row],[Асфальт]]&gt;0,Таблица17[[#This Row],[Бетон]]&gt;0)</f>
        <v>1</v>
      </c>
      <c r="U17" s="8">
        <f>Таблица17[[#This Row],[Бетон]]+Таблица17[[#This Row],[Асфальт]]+Таблица17[[#This Row],[Щебень]]</f>
        <v>0.6</v>
      </c>
      <c r="V17" s="168"/>
    </row>
    <row r="18" spans="1:24" ht="70.5" x14ac:dyDescent="0.35">
      <c r="A18" s="171">
        <v>17</v>
      </c>
      <c r="B18" s="171" t="s">
        <v>35</v>
      </c>
      <c r="C18" s="171" t="s">
        <v>36</v>
      </c>
      <c r="D18" s="171" t="s">
        <v>552</v>
      </c>
      <c r="E18" s="171">
        <f>Таблица17[[#This Row],[Грунт]]+Таблица17[[#This Row],[Щебень]]+Таблица17[[#This Row],[Асфальт]]+Таблица17[[#This Row],[Бетон]]</f>
        <v>1</v>
      </c>
      <c r="F18" s="172">
        <v>0.4</v>
      </c>
      <c r="G18" s="173">
        <v>0.6</v>
      </c>
      <c r="H18" s="174"/>
      <c r="I18" s="175"/>
      <c r="J18" s="176" t="s">
        <v>801</v>
      </c>
      <c r="K18" s="10" t="s">
        <v>557</v>
      </c>
      <c r="N18" s="8" t="b">
        <f>OR(Таблица17[[#This Row],[Щебень]]&gt;0,Таблица17[[#This Row],[Асфальт]]&gt;0,Таблица17[[#This Row],[Бетон]]&gt;0)</f>
        <v>1</v>
      </c>
      <c r="U18" s="8">
        <f>Таблица17[[#This Row],[Бетон]]+Таблица17[[#This Row],[Асфальт]]+Таблица17[[#This Row],[Щебень]]</f>
        <v>0.6</v>
      </c>
      <c r="V18" s="168"/>
      <c r="W18" s="8">
        <v>0.6</v>
      </c>
    </row>
    <row r="19" spans="1:24" ht="36" hidden="1" x14ac:dyDescent="0.35">
      <c r="A19" s="171">
        <v>18</v>
      </c>
      <c r="B19" s="171" t="s">
        <v>37</v>
      </c>
      <c r="C19" s="171" t="s">
        <v>38</v>
      </c>
      <c r="D19" s="177" t="s">
        <v>551</v>
      </c>
      <c r="E19" s="171">
        <f>Таблица17[[#This Row],[Грунт]]+Таблица17[[#This Row],[Щебень]]+Таблица17[[#This Row],[Асфальт]]+Таблица17[[#This Row],[Бетон]]</f>
        <v>2</v>
      </c>
      <c r="F19" s="172"/>
      <c r="G19" s="173">
        <v>2</v>
      </c>
      <c r="H19" s="174"/>
      <c r="I19" s="175"/>
      <c r="J19" s="176"/>
      <c r="N19" s="8" t="b">
        <f>OR(Таблица17[[#This Row],[Щебень]]&gt;0,Таблица17[[#This Row],[Асфальт]]&gt;0,Таблица17[[#This Row],[Бетон]]&gt;0)</f>
        <v>1</v>
      </c>
      <c r="O19" s="8">
        <v>1</v>
      </c>
      <c r="P19" s="8">
        <v>1</v>
      </c>
      <c r="U19" s="8">
        <f>Таблица17[[#This Row],[Бетон]]+Таблица17[[#This Row],[Асфальт]]+Таблица17[[#This Row],[Щебень]]</f>
        <v>2</v>
      </c>
      <c r="V19" s="168"/>
    </row>
    <row r="20" spans="1:24" ht="36" hidden="1" x14ac:dyDescent="0.35">
      <c r="A20" s="171">
        <v>19</v>
      </c>
      <c r="B20" s="171" t="s">
        <v>39</v>
      </c>
      <c r="C20" s="171" t="s">
        <v>40</v>
      </c>
      <c r="D20" s="177" t="s">
        <v>551</v>
      </c>
      <c r="E20" s="171">
        <f>Таблица17[[#This Row],[Грунт]]+Таблица17[[#This Row],[Щебень]]+Таблица17[[#This Row],[Асфальт]]+Таблица17[[#This Row],[Бетон]]</f>
        <v>1.5</v>
      </c>
      <c r="F20" s="172">
        <v>1.5</v>
      </c>
      <c r="G20" s="173"/>
      <c r="H20" s="174"/>
      <c r="I20" s="175"/>
      <c r="J20" s="176"/>
      <c r="N20" s="8" t="b">
        <f>OR(Таблица17[[#This Row],[Щебень]]&gt;0,Таблица17[[#This Row],[Асфальт]]&gt;0,Таблица17[[#This Row],[Бетон]]&gt;0)</f>
        <v>0</v>
      </c>
      <c r="U20" s="8">
        <f>Таблица17[[#This Row],[Бетон]]+Таблица17[[#This Row],[Асфальт]]+Таблица17[[#This Row],[Щебень]]</f>
        <v>0</v>
      </c>
      <c r="V20" s="168"/>
    </row>
    <row r="21" spans="1:24" ht="36" hidden="1" x14ac:dyDescent="0.35">
      <c r="A21" s="171">
        <v>20</v>
      </c>
      <c r="B21" s="171" t="s">
        <v>41</v>
      </c>
      <c r="C21" s="171" t="s">
        <v>42</v>
      </c>
      <c r="D21" s="177" t="s">
        <v>551</v>
      </c>
      <c r="E21" s="171">
        <f>Таблица17[[#This Row],[Грунт]]+Таблица17[[#This Row],[Щебень]]+Таблица17[[#This Row],[Асфальт]]+Таблица17[[#This Row],[Бетон]]</f>
        <v>2</v>
      </c>
      <c r="F21" s="172">
        <v>2</v>
      </c>
      <c r="G21" s="173"/>
      <c r="H21" s="174"/>
      <c r="I21" s="175"/>
      <c r="J21" s="176"/>
      <c r="N21" s="8" t="b">
        <f>OR(Таблица17[[#This Row],[Щебень]]&gt;0,Таблица17[[#This Row],[Асфальт]]&gt;0,Таблица17[[#This Row],[Бетон]]&gt;0)</f>
        <v>0</v>
      </c>
      <c r="U21" s="8">
        <f>Таблица17[[#This Row],[Бетон]]+Таблица17[[#This Row],[Асфальт]]+Таблица17[[#This Row],[Щебень]]</f>
        <v>0</v>
      </c>
      <c r="V21" s="168"/>
    </row>
    <row r="22" spans="1:24" ht="36" hidden="1" x14ac:dyDescent="0.35">
      <c r="A22" s="171">
        <v>21</v>
      </c>
      <c r="B22" s="171" t="s">
        <v>43</v>
      </c>
      <c r="C22" s="171" t="s">
        <v>44</v>
      </c>
      <c r="D22" s="177" t="s">
        <v>551</v>
      </c>
      <c r="E22" s="171">
        <f>Таблица17[[#This Row],[Грунт]]+Таблица17[[#This Row],[Щебень]]+Таблица17[[#This Row],[Асфальт]]+Таблица17[[#This Row],[Бетон]]</f>
        <v>3</v>
      </c>
      <c r="F22" s="172">
        <v>3</v>
      </c>
      <c r="G22" s="173"/>
      <c r="H22" s="174"/>
      <c r="I22" s="175"/>
      <c r="J22" s="176"/>
      <c r="N22" s="8" t="b">
        <f>OR(Таблица17[[#This Row],[Щебень]]&gt;0,Таблица17[[#This Row],[Асфальт]]&gt;0,Таблица17[[#This Row],[Бетон]]&gt;0)</f>
        <v>0</v>
      </c>
      <c r="U22" s="8">
        <f>Таблица17[[#This Row],[Бетон]]+Таблица17[[#This Row],[Асфальт]]+Таблица17[[#This Row],[Щебень]]</f>
        <v>0</v>
      </c>
      <c r="V22" s="168"/>
    </row>
    <row r="23" spans="1:24" ht="36" hidden="1" x14ac:dyDescent="0.35">
      <c r="A23" s="171">
        <v>22</v>
      </c>
      <c r="B23" s="171" t="s">
        <v>45</v>
      </c>
      <c r="C23" s="171" t="s">
        <v>46</v>
      </c>
      <c r="D23" s="177" t="s">
        <v>540</v>
      </c>
      <c r="E23" s="171">
        <f>Таблица17[[#This Row],[Грунт]]+Таблица17[[#This Row],[Щебень]]+Таблица17[[#This Row],[Асфальт]]+Таблица17[[#This Row],[Бетон]]</f>
        <v>2</v>
      </c>
      <c r="F23" s="172">
        <v>2</v>
      </c>
      <c r="G23" s="173"/>
      <c r="H23" s="174"/>
      <c r="I23" s="175"/>
      <c r="J23" s="176"/>
      <c r="N23" s="8" t="b">
        <f>OR(Таблица17[[#This Row],[Щебень]]&gt;0,Таблица17[[#This Row],[Асфальт]]&gt;0,Таблица17[[#This Row],[Бетон]]&gt;0)</f>
        <v>0</v>
      </c>
      <c r="U23" s="8">
        <f>Таблица17[[#This Row],[Бетон]]+Таблица17[[#This Row],[Асфальт]]+Таблица17[[#This Row],[Щебень]]</f>
        <v>0</v>
      </c>
      <c r="V23" s="168"/>
    </row>
    <row r="24" spans="1:24" ht="36" hidden="1" x14ac:dyDescent="0.35">
      <c r="A24" s="171">
        <v>23</v>
      </c>
      <c r="B24" s="171" t="s">
        <v>47</v>
      </c>
      <c r="C24" s="171" t="s">
        <v>48</v>
      </c>
      <c r="D24" s="177" t="s">
        <v>540</v>
      </c>
      <c r="E24" s="171">
        <f>Таблица17[[#This Row],[Грунт]]+Таблица17[[#This Row],[Щебень]]+Таблица17[[#This Row],[Асфальт]]+Таблица17[[#This Row],[Бетон]]</f>
        <v>2</v>
      </c>
      <c r="F24" s="172">
        <v>2</v>
      </c>
      <c r="G24" s="173"/>
      <c r="H24" s="174"/>
      <c r="I24" s="175"/>
      <c r="J24" s="176"/>
      <c r="N24" s="8" t="b">
        <f>OR(Таблица17[[#This Row],[Щебень]]&gt;0,Таблица17[[#This Row],[Асфальт]]&gt;0,Таблица17[[#This Row],[Бетон]]&gt;0)</f>
        <v>0</v>
      </c>
      <c r="U24" s="8">
        <f>Таблица17[[#This Row],[Бетон]]+Таблица17[[#This Row],[Асфальт]]+Таблица17[[#This Row],[Щебень]]</f>
        <v>0</v>
      </c>
      <c r="V24" s="168"/>
    </row>
    <row r="25" spans="1:24" ht="70.5" hidden="1" x14ac:dyDescent="0.35">
      <c r="A25" s="171">
        <v>24</v>
      </c>
      <c r="B25" s="171" t="s">
        <v>49</v>
      </c>
      <c r="C25" s="171" t="s">
        <v>50</v>
      </c>
      <c r="D25" s="177" t="s">
        <v>540</v>
      </c>
      <c r="E25" s="171">
        <f>Таблица17[[#This Row],[Грунт]]+Таблица17[[#This Row],[Щебень]]+Таблица17[[#This Row],[Асфальт]]+Таблица17[[#This Row],[Бетон]]</f>
        <v>1</v>
      </c>
      <c r="F25" s="172">
        <v>1</v>
      </c>
      <c r="G25" s="173"/>
      <c r="H25" s="174"/>
      <c r="I25" s="175"/>
      <c r="J25" s="176"/>
      <c r="N25" s="8" t="b">
        <f>OR(Таблица17[[#This Row],[Щебень]]&gt;0,Таблица17[[#This Row],[Асфальт]]&gt;0,Таблица17[[#This Row],[Бетон]]&gt;0)</f>
        <v>0</v>
      </c>
      <c r="U25" s="8">
        <f>Таблица17[[#This Row],[Бетон]]+Таблица17[[#This Row],[Асфальт]]+Таблица17[[#This Row],[Щебень]]</f>
        <v>0</v>
      </c>
      <c r="V25" s="168"/>
    </row>
    <row r="26" spans="1:24" ht="36" x14ac:dyDescent="0.35">
      <c r="A26" s="171">
        <v>25</v>
      </c>
      <c r="B26" s="171" t="s">
        <v>51</v>
      </c>
      <c r="C26" s="171" t="s">
        <v>52</v>
      </c>
      <c r="D26" s="177" t="s">
        <v>540</v>
      </c>
      <c r="E26" s="171">
        <f>Таблица17[[#This Row],[Грунт]]+Таблица17[[#This Row],[Щебень]]+Таблица17[[#This Row],[Асфальт]]+Таблица17[[#This Row],[Бетон]]</f>
        <v>3</v>
      </c>
      <c r="F26" s="172"/>
      <c r="G26" s="173">
        <v>3</v>
      </c>
      <c r="H26" s="174"/>
      <c r="I26" s="175"/>
      <c r="J26" s="176" t="s">
        <v>801</v>
      </c>
      <c r="N26" s="8" t="b">
        <f>OR(Таблица17[[#This Row],[Щебень]]&gt;0,Таблица17[[#This Row],[Асфальт]]&gt;0,Таблица17[[#This Row],[Бетон]]&gt;0)</f>
        <v>1</v>
      </c>
      <c r="O26" s="8">
        <v>1</v>
      </c>
      <c r="P26" s="8">
        <v>1</v>
      </c>
      <c r="U26" s="8">
        <f>Таблица17[[#This Row],[Бетон]]+Таблица17[[#This Row],[Асфальт]]+Таблица17[[#This Row],[Щебень]]</f>
        <v>3</v>
      </c>
      <c r="V26" s="168"/>
      <c r="X26" s="8">
        <v>3</v>
      </c>
    </row>
    <row r="27" spans="1:24" ht="36" hidden="1" x14ac:dyDescent="0.35">
      <c r="A27" s="171">
        <v>26</v>
      </c>
      <c r="B27" s="171" t="s">
        <v>53</v>
      </c>
      <c r="C27" s="171" t="s">
        <v>54</v>
      </c>
      <c r="D27" s="177" t="s">
        <v>540</v>
      </c>
      <c r="E27" s="171">
        <f>Таблица17[[#This Row],[Грунт]]+Таблица17[[#This Row],[Щебень]]+Таблица17[[#This Row],[Асфальт]]+Таблица17[[#This Row],[Бетон]]</f>
        <v>2</v>
      </c>
      <c r="F27" s="172">
        <v>2</v>
      </c>
      <c r="G27" s="173"/>
      <c r="H27" s="174"/>
      <c r="I27" s="175"/>
      <c r="J27" s="176"/>
      <c r="N27" s="8" t="b">
        <f>OR(Таблица17[[#This Row],[Щебень]]&gt;0,Таблица17[[#This Row],[Асфальт]]&gt;0,Таблица17[[#This Row],[Бетон]]&gt;0)</f>
        <v>0</v>
      </c>
      <c r="U27" s="8">
        <f>Таблица17[[#This Row],[Бетон]]+Таблица17[[#This Row],[Асфальт]]+Таблица17[[#This Row],[Щебень]]</f>
        <v>0</v>
      </c>
      <c r="V27" s="168"/>
    </row>
    <row r="28" spans="1:24" ht="70.5" hidden="1" x14ac:dyDescent="0.35">
      <c r="A28" s="171">
        <v>27</v>
      </c>
      <c r="B28" s="171" t="s">
        <v>55</v>
      </c>
      <c r="C28" s="171" t="s">
        <v>56</v>
      </c>
      <c r="D28" s="177" t="s">
        <v>540</v>
      </c>
      <c r="E28" s="171">
        <f>Таблица17[[#This Row],[Грунт]]+Таблица17[[#This Row],[Щебень]]+Таблица17[[#This Row],[Асфальт]]+Таблица17[[#This Row],[Бетон]]</f>
        <v>1</v>
      </c>
      <c r="F28" s="172">
        <v>1</v>
      </c>
      <c r="G28" s="173"/>
      <c r="H28" s="174"/>
      <c r="I28" s="175"/>
      <c r="J28" s="176"/>
      <c r="N28" s="8" t="b">
        <f>OR(Таблица17[[#This Row],[Щебень]]&gt;0,Таблица17[[#This Row],[Асфальт]]&gt;0,Таблица17[[#This Row],[Бетон]]&gt;0)</f>
        <v>0</v>
      </c>
      <c r="U28" s="8">
        <f>Таблица17[[#This Row],[Бетон]]+Таблица17[[#This Row],[Асфальт]]+Таблица17[[#This Row],[Щебень]]</f>
        <v>0</v>
      </c>
      <c r="V28" s="168"/>
    </row>
    <row r="29" spans="1:24" ht="36" hidden="1" x14ac:dyDescent="0.35">
      <c r="A29" s="171">
        <v>28</v>
      </c>
      <c r="B29" s="171" t="s">
        <v>57</v>
      </c>
      <c r="C29" s="171" t="s">
        <v>58</v>
      </c>
      <c r="D29" s="171" t="s">
        <v>538</v>
      </c>
      <c r="E29" s="171">
        <f>Таблица17[[#This Row],[Грунт]]+Таблица17[[#This Row],[Щебень]]+Таблица17[[#This Row],[Асфальт]]+Таблица17[[#This Row],[Бетон]]</f>
        <v>2</v>
      </c>
      <c r="F29" s="172">
        <v>1.875</v>
      </c>
      <c r="G29" s="173">
        <v>0.125</v>
      </c>
      <c r="H29" s="174"/>
      <c r="I29" s="175"/>
      <c r="J29" s="176"/>
      <c r="K29" s="10" t="s">
        <v>558</v>
      </c>
      <c r="N29" s="8" t="b">
        <f>OR(Таблица17[[#This Row],[Щебень]]&gt;0,Таблица17[[#This Row],[Асфальт]]&gt;0,Таблица17[[#This Row],[Бетон]]&gt;0)</f>
        <v>1</v>
      </c>
      <c r="O29" s="8">
        <v>1</v>
      </c>
      <c r="P29" s="8">
        <v>1</v>
      </c>
      <c r="U29" s="8">
        <f>Таблица17[[#This Row],[Бетон]]+Таблица17[[#This Row],[Асфальт]]+Таблица17[[#This Row],[Щебень]]</f>
        <v>0.125</v>
      </c>
      <c r="V29" s="168"/>
    </row>
    <row r="30" spans="1:24" ht="36" hidden="1" x14ac:dyDescent="0.35">
      <c r="A30" s="171">
        <v>29</v>
      </c>
      <c r="B30" s="171" t="s">
        <v>59</v>
      </c>
      <c r="C30" s="171" t="s">
        <v>60</v>
      </c>
      <c r="D30" s="171" t="s">
        <v>538</v>
      </c>
      <c r="E30" s="171">
        <f>Таблица17[[#This Row],[Грунт]]+Таблица17[[#This Row],[Щебень]]+Таблица17[[#This Row],[Асфальт]]+Таблица17[[#This Row],[Бетон]]</f>
        <v>1</v>
      </c>
      <c r="F30" s="172">
        <v>1</v>
      </c>
      <c r="G30" s="173"/>
      <c r="H30" s="174"/>
      <c r="I30" s="175"/>
      <c r="J30" s="176"/>
      <c r="K30" s="8" t="s">
        <v>558</v>
      </c>
      <c r="N30" s="8" t="b">
        <f>OR(Таблица17[[#This Row],[Щебень]]&gt;0,Таблица17[[#This Row],[Асфальт]]&gt;0,Таблица17[[#This Row],[Бетон]]&gt;0)</f>
        <v>0</v>
      </c>
      <c r="U30" s="8">
        <f>Таблица17[[#This Row],[Бетон]]+Таблица17[[#This Row],[Асфальт]]+Таблица17[[#This Row],[Щебень]]</f>
        <v>0</v>
      </c>
      <c r="V30" s="168"/>
    </row>
    <row r="31" spans="1:24" ht="36" hidden="1" x14ac:dyDescent="0.35">
      <c r="A31" s="171">
        <v>30</v>
      </c>
      <c r="B31" s="171" t="s">
        <v>61</v>
      </c>
      <c r="C31" s="171" t="s">
        <v>62</v>
      </c>
      <c r="D31" s="171" t="s">
        <v>538</v>
      </c>
      <c r="E31" s="171">
        <f>Таблица17[[#This Row],[Грунт]]+Таблица17[[#This Row],[Щебень]]+Таблица17[[#This Row],[Асфальт]]+Таблица17[[#This Row],[Бетон]]</f>
        <v>4</v>
      </c>
      <c r="F31" s="172"/>
      <c r="G31" s="173"/>
      <c r="H31" s="174">
        <v>4</v>
      </c>
      <c r="I31" s="175"/>
      <c r="J31" s="176"/>
      <c r="K31" s="8" t="s">
        <v>558</v>
      </c>
      <c r="N31" s="8" t="b">
        <f>OR(Таблица17[[#This Row],[Щебень]]&gt;0,Таблица17[[#This Row],[Асфальт]]&gt;0,Таблица17[[#This Row],[Бетон]]&gt;0)</f>
        <v>1</v>
      </c>
      <c r="O31" s="8">
        <v>1</v>
      </c>
      <c r="P31" s="8">
        <v>1</v>
      </c>
      <c r="U31" s="8">
        <f>Таблица17[[#This Row],[Бетон]]+Таблица17[[#This Row],[Асфальт]]+Таблица17[[#This Row],[Щебень]]</f>
        <v>4</v>
      </c>
      <c r="V31" s="168"/>
    </row>
    <row r="32" spans="1:24" ht="70.5" hidden="1" x14ac:dyDescent="0.35">
      <c r="A32" s="171">
        <v>31</v>
      </c>
      <c r="B32" s="171" t="s">
        <v>63</v>
      </c>
      <c r="C32" s="171" t="s">
        <v>64</v>
      </c>
      <c r="D32" s="171" t="s">
        <v>538</v>
      </c>
      <c r="E32" s="171">
        <f>Таблица17[[#This Row],[Грунт]]+Таблица17[[#This Row],[Щебень]]+Таблица17[[#This Row],[Асфальт]]+Таблица17[[#This Row],[Бетон]]</f>
        <v>2.218</v>
      </c>
      <c r="F32" s="172"/>
      <c r="G32" s="173">
        <v>2.218</v>
      </c>
      <c r="H32" s="174"/>
      <c r="I32" s="175"/>
      <c r="J32" s="176"/>
      <c r="K32" s="10" t="s">
        <v>557</v>
      </c>
      <c r="N32" s="8" t="b">
        <f>OR(Таблица17[[#This Row],[Щебень]]&gt;0,Таблица17[[#This Row],[Асфальт]]&gt;0,Таблица17[[#This Row],[Бетон]]&gt;0)</f>
        <v>1</v>
      </c>
      <c r="O32" s="8">
        <v>1</v>
      </c>
      <c r="P32" s="8">
        <v>1</v>
      </c>
      <c r="U32" s="8">
        <f>Таблица17[[#This Row],[Бетон]]+Таблица17[[#This Row],[Асфальт]]+Таблица17[[#This Row],[Щебень]]</f>
        <v>2.218</v>
      </c>
      <c r="V32" s="168"/>
    </row>
    <row r="33" spans="1:23" ht="36" hidden="1" x14ac:dyDescent="0.35">
      <c r="A33" s="171">
        <v>32</v>
      </c>
      <c r="B33" s="171" t="s">
        <v>65</v>
      </c>
      <c r="C33" s="171" t="s">
        <v>66</v>
      </c>
      <c r="D33" s="171" t="s">
        <v>542</v>
      </c>
      <c r="E33" s="171">
        <f>Таблица17[[#This Row],[Грунт]]+Таблица17[[#This Row],[Щебень]]+Таблица17[[#This Row],[Асфальт]]+Таблица17[[#This Row],[Бетон]]</f>
        <v>3</v>
      </c>
      <c r="F33" s="172">
        <v>3</v>
      </c>
      <c r="G33" s="173"/>
      <c r="H33" s="174">
        <v>0</v>
      </c>
      <c r="I33" s="175"/>
      <c r="J33" s="176"/>
      <c r="N33" s="8" t="b">
        <f>OR(Таблица17[[#This Row],[Щебень]]&gt;0,Таблица17[[#This Row],[Асфальт]]&gt;0,Таблица17[[#This Row],[Бетон]]&gt;0)</f>
        <v>0</v>
      </c>
      <c r="O33" s="8">
        <v>1</v>
      </c>
      <c r="P33" s="8">
        <v>1</v>
      </c>
      <c r="U33" s="8">
        <f>Таблица17[[#This Row],[Бетон]]+Таблица17[[#This Row],[Асфальт]]+Таблица17[[#This Row],[Щебень]]</f>
        <v>0</v>
      </c>
      <c r="V33" s="168"/>
    </row>
    <row r="34" spans="1:23" ht="105.75" hidden="1" x14ac:dyDescent="0.35">
      <c r="A34" s="171">
        <v>33</v>
      </c>
      <c r="B34" s="171" t="s">
        <v>67</v>
      </c>
      <c r="C34" s="171" t="s">
        <v>530</v>
      </c>
      <c r="D34" s="171" t="s">
        <v>542</v>
      </c>
      <c r="E34" s="171">
        <f>Таблица17[[#This Row],[Грунт]]+Таблица17[[#This Row],[Щебень]]+Таблица17[[#This Row],[Асфальт]]+Таблица17[[#This Row],[Бетон]]</f>
        <v>2</v>
      </c>
      <c r="F34" s="172"/>
      <c r="G34" s="173"/>
      <c r="H34" s="174">
        <v>2</v>
      </c>
      <c r="I34" s="175"/>
      <c r="J34" s="176"/>
      <c r="K34" s="8" t="s">
        <v>557</v>
      </c>
      <c r="N34" s="8" t="b">
        <f>OR(Таблица17[[#This Row],[Щебень]]&gt;0,Таблица17[[#This Row],[Асфальт]]&gt;0,Таблица17[[#This Row],[Бетон]]&gt;0)</f>
        <v>1</v>
      </c>
      <c r="O34" s="8">
        <v>1</v>
      </c>
      <c r="P34" s="8">
        <v>1</v>
      </c>
      <c r="U34" s="8">
        <f>Таблица17[[#This Row],[Бетон]]+Таблица17[[#This Row],[Асфальт]]+Таблица17[[#This Row],[Щебень]]</f>
        <v>2</v>
      </c>
      <c r="V34" s="168"/>
    </row>
    <row r="35" spans="1:23" ht="70.5" hidden="1" x14ac:dyDescent="0.35">
      <c r="A35" s="171">
        <v>34</v>
      </c>
      <c r="B35" s="171" t="s">
        <v>68</v>
      </c>
      <c r="C35" s="171" t="s">
        <v>69</v>
      </c>
      <c r="D35" s="171" t="s">
        <v>542</v>
      </c>
      <c r="E35" s="171">
        <f>Таблица17[[#This Row],[Грунт]]+Таблица17[[#This Row],[Щебень]]+Таблица17[[#This Row],[Асфальт]]+Таблица17[[#This Row],[Бетон]]</f>
        <v>1.8</v>
      </c>
      <c r="F35" s="172"/>
      <c r="G35" s="173"/>
      <c r="H35" s="174">
        <v>1.8</v>
      </c>
      <c r="I35" s="175"/>
      <c r="J35" s="176"/>
      <c r="K35" s="10" t="s">
        <v>557</v>
      </c>
      <c r="N35" s="8" t="b">
        <f>OR(Таблица17[[#This Row],[Щебень]]&gt;0,Таблица17[[#This Row],[Асфальт]]&gt;0,Таблица17[[#This Row],[Бетон]]&gt;0)</f>
        <v>1</v>
      </c>
      <c r="O35" s="8">
        <v>1</v>
      </c>
      <c r="P35" s="8">
        <v>1</v>
      </c>
      <c r="U35" s="8">
        <f>Таблица17[[#This Row],[Бетон]]+Таблица17[[#This Row],[Асфальт]]+Таблица17[[#This Row],[Щебень]]</f>
        <v>1.8</v>
      </c>
      <c r="V35" s="168"/>
    </row>
    <row r="36" spans="1:23" ht="105.75" hidden="1" x14ac:dyDescent="0.35">
      <c r="A36" s="171">
        <v>35</v>
      </c>
      <c r="B36" s="171" t="s">
        <v>70</v>
      </c>
      <c r="C36" s="171" t="s">
        <v>531</v>
      </c>
      <c r="D36" s="171" t="s">
        <v>542</v>
      </c>
      <c r="E36" s="171">
        <f>Таблица17[[#This Row],[Грунт]]+Таблица17[[#This Row],[Щебень]]+Таблица17[[#This Row],[Асфальт]]+Таблица17[[#This Row],[Бетон]]</f>
        <v>1</v>
      </c>
      <c r="F36" s="172">
        <v>1</v>
      </c>
      <c r="G36" s="173"/>
      <c r="H36" s="174"/>
      <c r="I36" s="175"/>
      <c r="J36" s="176"/>
      <c r="N36" s="8" t="b">
        <f>OR(Таблица17[[#This Row],[Щебень]]&gt;0,Таблица17[[#This Row],[Асфальт]]&gt;0,Таблица17[[#This Row],[Бетон]]&gt;0)</f>
        <v>0</v>
      </c>
      <c r="U36" s="8">
        <f>Таблица17[[#This Row],[Бетон]]+Таблица17[[#This Row],[Асфальт]]+Таблица17[[#This Row],[Щебень]]</f>
        <v>0</v>
      </c>
      <c r="V36" s="168"/>
    </row>
    <row r="37" spans="1:23" ht="36" hidden="1" x14ac:dyDescent="0.35">
      <c r="A37" s="171">
        <v>36</v>
      </c>
      <c r="B37" s="171" t="s">
        <v>71</v>
      </c>
      <c r="C37" s="171" t="s">
        <v>72</v>
      </c>
      <c r="D37" s="171" t="s">
        <v>542</v>
      </c>
      <c r="E37" s="171">
        <f>Таблица17[[#This Row],[Грунт]]+Таблица17[[#This Row],[Щебень]]+Таблица17[[#This Row],[Асфальт]]+Таблица17[[#This Row],[Бетон]]</f>
        <v>1</v>
      </c>
      <c r="F37" s="172">
        <v>1</v>
      </c>
      <c r="G37" s="173"/>
      <c r="H37" s="174"/>
      <c r="I37" s="175"/>
      <c r="J37" s="176"/>
      <c r="N37" s="8" t="b">
        <f>OR(Таблица17[[#This Row],[Щебень]]&gt;0,Таблица17[[#This Row],[Асфальт]]&gt;0,Таблица17[[#This Row],[Бетон]]&gt;0)</f>
        <v>0</v>
      </c>
      <c r="U37" s="8">
        <f>Таблица17[[#This Row],[Бетон]]+Таблица17[[#This Row],[Асфальт]]+Таблица17[[#This Row],[Щебень]]</f>
        <v>0</v>
      </c>
      <c r="V37" s="168"/>
    </row>
    <row r="38" spans="1:23" ht="36" hidden="1" x14ac:dyDescent="0.35">
      <c r="A38" s="171">
        <v>37</v>
      </c>
      <c r="B38" s="171" t="s">
        <v>73</v>
      </c>
      <c r="C38" s="171" t="s">
        <v>74</v>
      </c>
      <c r="D38" s="171" t="s">
        <v>546</v>
      </c>
      <c r="E38" s="171">
        <f>Таблица17[[#This Row],[Грунт]]+Таблица17[[#This Row],[Щебень]]+Таблица17[[#This Row],[Асфальт]]+Таблица17[[#This Row],[Бетон]]</f>
        <v>2</v>
      </c>
      <c r="F38" s="172">
        <v>2</v>
      </c>
      <c r="G38" s="173"/>
      <c r="H38" s="174"/>
      <c r="I38" s="175"/>
      <c r="J38" s="176"/>
      <c r="K38" s="8" t="s">
        <v>558</v>
      </c>
      <c r="N38" s="8" t="b">
        <f>OR(Таблица17[[#This Row],[Щебень]]&gt;0,Таблица17[[#This Row],[Асфальт]]&gt;0,Таблица17[[#This Row],[Бетон]]&gt;0)</f>
        <v>0</v>
      </c>
      <c r="U38" s="8">
        <f>Таблица17[[#This Row],[Бетон]]+Таблица17[[#This Row],[Асфальт]]+Таблица17[[#This Row],[Щебень]]</f>
        <v>0</v>
      </c>
      <c r="V38" s="168"/>
    </row>
    <row r="39" spans="1:23" ht="46.5" hidden="1" customHeight="1" x14ac:dyDescent="0.35">
      <c r="A39" s="171">
        <v>38</v>
      </c>
      <c r="B39" s="171" t="s">
        <v>75</v>
      </c>
      <c r="C39" s="171" t="s">
        <v>76</v>
      </c>
      <c r="D39" s="171" t="s">
        <v>797</v>
      </c>
      <c r="E39" s="171">
        <f>Таблица17[[#This Row],[Грунт]]+Таблица17[[#This Row],[Щебень]]+Таблица17[[#This Row],[Асфальт]]+Таблица17[[#This Row],[Бетон]]</f>
        <v>3</v>
      </c>
      <c r="F39" s="172">
        <v>3</v>
      </c>
      <c r="G39" s="173"/>
      <c r="H39" s="174"/>
      <c r="I39" s="175"/>
      <c r="J39" s="176"/>
      <c r="N39" s="8" t="b">
        <f>OR(Таблица17[[#This Row],[Щебень]]&gt;0,Таблица17[[#This Row],[Асфальт]]&gt;0,Таблица17[[#This Row],[Бетон]]&gt;0)</f>
        <v>0</v>
      </c>
      <c r="U39" s="8">
        <f>Таблица17[[#This Row],[Бетон]]+Таблица17[[#This Row],[Асфальт]]+Таблица17[[#This Row],[Щебень]]</f>
        <v>0</v>
      </c>
      <c r="V39" s="168"/>
    </row>
    <row r="40" spans="1:23" ht="54.75" hidden="1" customHeight="1" x14ac:dyDescent="0.35">
      <c r="A40" s="171">
        <v>39</v>
      </c>
      <c r="B40" s="171" t="s">
        <v>77</v>
      </c>
      <c r="C40" s="196" t="s">
        <v>78</v>
      </c>
      <c r="D40" s="171" t="s">
        <v>546</v>
      </c>
      <c r="E40" s="171">
        <f>Таблица17[[#This Row],[Грунт]]+Таблица17[[#This Row],[Щебень]]+Таблица17[[#This Row],[Асфальт]]+Таблица17[[#This Row],[Бетон]]</f>
        <v>5</v>
      </c>
      <c r="F40" s="172"/>
      <c r="G40" s="173"/>
      <c r="H40" s="174">
        <v>5</v>
      </c>
      <c r="I40" s="175"/>
      <c r="J40" s="176"/>
      <c r="K40" s="10" t="s">
        <v>557</v>
      </c>
      <c r="N40" s="8" t="b">
        <f>OR(Таблица17[[#This Row],[Щебень]]&gt;0,Таблица17[[#This Row],[Асфальт]]&gt;0,Таблица17[[#This Row],[Бетон]]&gt;0)</f>
        <v>1</v>
      </c>
      <c r="O40" s="8">
        <v>1</v>
      </c>
      <c r="P40" s="8">
        <v>1</v>
      </c>
      <c r="U40" s="8">
        <f>Таблица17[[#This Row],[Бетон]]+Таблица17[[#This Row],[Асфальт]]+Таблица17[[#This Row],[Щебень]]</f>
        <v>5</v>
      </c>
      <c r="V40" s="168"/>
      <c r="W40" s="8">
        <v>5</v>
      </c>
    </row>
    <row r="41" spans="1:23" ht="70.5" hidden="1" x14ac:dyDescent="0.35">
      <c r="A41" s="171">
        <v>40</v>
      </c>
      <c r="B41" s="171" t="s">
        <v>79</v>
      </c>
      <c r="C41" s="171" t="s">
        <v>532</v>
      </c>
      <c r="D41" s="171" t="s">
        <v>546</v>
      </c>
      <c r="E41" s="171">
        <f>Таблица17[[#This Row],[Грунт]]+Таблица17[[#This Row],[Щебень]]+Таблица17[[#This Row],[Асфальт]]+Таблица17[[#This Row],[Бетон]]</f>
        <v>3</v>
      </c>
      <c r="F41" s="172">
        <v>3</v>
      </c>
      <c r="G41" s="173"/>
      <c r="H41" s="174"/>
      <c r="I41" s="175"/>
      <c r="J41" s="176"/>
      <c r="N41" s="8" t="b">
        <f>OR(Таблица17[[#This Row],[Щебень]]&gt;0,Таблица17[[#This Row],[Асфальт]]&gt;0,Таблица17[[#This Row],[Бетон]]&gt;0)</f>
        <v>0</v>
      </c>
      <c r="U41" s="8">
        <f>Таблица17[[#This Row],[Бетон]]+Таблица17[[#This Row],[Асфальт]]+Таблица17[[#This Row],[Щебень]]</f>
        <v>0</v>
      </c>
      <c r="V41" s="168"/>
    </row>
    <row r="42" spans="1:23" ht="36" hidden="1" x14ac:dyDescent="0.35">
      <c r="A42" s="171">
        <v>41</v>
      </c>
      <c r="B42" s="171" t="s">
        <v>80</v>
      </c>
      <c r="C42" s="171" t="s">
        <v>81</v>
      </c>
      <c r="D42" s="171" t="s">
        <v>546</v>
      </c>
      <c r="E42" s="171">
        <f>Таблица17[[#This Row],[Грунт]]+Таблица17[[#This Row],[Щебень]]+Таблица17[[#This Row],[Асфальт]]+Таблица17[[#This Row],[Бетон]]</f>
        <v>1.5</v>
      </c>
      <c r="F42" s="172"/>
      <c r="G42" s="173"/>
      <c r="H42" s="174">
        <v>1.5</v>
      </c>
      <c r="I42" s="175"/>
      <c r="J42" s="176"/>
      <c r="K42" s="10" t="s">
        <v>557</v>
      </c>
      <c r="N42" s="8" t="b">
        <f>OR(Таблица17[[#This Row],[Щебень]]&gt;0,Таблица17[[#This Row],[Асфальт]]&gt;0,Таблица17[[#This Row],[Бетон]]&gt;0)</f>
        <v>1</v>
      </c>
      <c r="U42" s="8">
        <f>Таблица17[[#This Row],[Бетон]]+Таблица17[[#This Row],[Асфальт]]+Таблица17[[#This Row],[Щебень]]</f>
        <v>1.5</v>
      </c>
      <c r="V42" s="168"/>
    </row>
    <row r="43" spans="1:23" ht="70.5" hidden="1" x14ac:dyDescent="0.35">
      <c r="A43" s="171">
        <v>42</v>
      </c>
      <c r="B43" s="171" t="s">
        <v>82</v>
      </c>
      <c r="C43" s="171" t="s">
        <v>83</v>
      </c>
      <c r="D43" s="171" t="s">
        <v>546</v>
      </c>
      <c r="E43" s="171">
        <f>Таблица17[[#This Row],[Грунт]]+Таблица17[[#This Row],[Щебень]]+Таблица17[[#This Row],[Асфальт]]+Таблица17[[#This Row],[Бетон]]</f>
        <v>4</v>
      </c>
      <c r="F43" s="172">
        <v>4</v>
      </c>
      <c r="G43" s="173"/>
      <c r="H43" s="174"/>
      <c r="I43" s="175"/>
      <c r="J43" s="176"/>
      <c r="N43" s="8" t="b">
        <f>OR(Таблица17[[#This Row],[Щебень]]&gt;0,Таблица17[[#This Row],[Асфальт]]&gt;0,Таблица17[[#This Row],[Бетон]]&gt;0)</f>
        <v>0</v>
      </c>
      <c r="U43" s="8">
        <f>Таблица17[[#This Row],[Бетон]]+Таблица17[[#This Row],[Асфальт]]+Таблица17[[#This Row],[Щебень]]</f>
        <v>0</v>
      </c>
      <c r="V43" s="168"/>
    </row>
    <row r="44" spans="1:23" ht="36" hidden="1" x14ac:dyDescent="0.35">
      <c r="A44" s="171">
        <v>43</v>
      </c>
      <c r="B44" s="171" t="s">
        <v>84</v>
      </c>
      <c r="C44" s="171" t="s">
        <v>85</v>
      </c>
      <c r="D44" s="171" t="s">
        <v>546</v>
      </c>
      <c r="E44" s="171">
        <f>Таблица17[[#This Row],[Грунт]]+Таблица17[[#This Row],[Щебень]]+Таблица17[[#This Row],[Асфальт]]+Таблица17[[#This Row],[Бетон]]</f>
        <v>2</v>
      </c>
      <c r="F44" s="172">
        <v>2</v>
      </c>
      <c r="G44" s="173"/>
      <c r="H44" s="174"/>
      <c r="I44" s="175"/>
      <c r="J44" s="176"/>
      <c r="N44" s="8" t="b">
        <f>OR(Таблица17[[#This Row],[Щебень]]&gt;0,Таблица17[[#This Row],[Асфальт]]&gt;0,Таблица17[[#This Row],[Бетон]]&gt;0)</f>
        <v>0</v>
      </c>
      <c r="U44" s="8">
        <f>Таблица17[[#This Row],[Бетон]]+Таблица17[[#This Row],[Асфальт]]+Таблица17[[#This Row],[Щебень]]</f>
        <v>0</v>
      </c>
      <c r="V44" s="168"/>
    </row>
    <row r="45" spans="1:23" s="111" customFormat="1" ht="70.5" hidden="1" x14ac:dyDescent="0.35">
      <c r="A45" s="178">
        <v>44</v>
      </c>
      <c r="B45" s="178" t="s">
        <v>86</v>
      </c>
      <c r="C45" s="178" t="s">
        <v>87</v>
      </c>
      <c r="D45" s="178" t="s">
        <v>546</v>
      </c>
      <c r="E45" s="171">
        <f>Таблица17[[#This Row],[Грунт]]+Таблица17[[#This Row],[Щебень]]+Таблица17[[#This Row],[Асфальт]]+Таблица17[[#This Row],[Бетон]]</f>
        <v>3.5</v>
      </c>
      <c r="F45" s="179">
        <v>0</v>
      </c>
      <c r="G45" s="179"/>
      <c r="H45" s="179">
        <v>3.5</v>
      </c>
      <c r="I45" s="179"/>
      <c r="J45" s="176"/>
      <c r="K45" s="110" t="s">
        <v>557</v>
      </c>
      <c r="N45" s="111" t="b">
        <f>OR(Таблица17[[#This Row],[Щебень]]&gt;0,Таблица17[[#This Row],[Асфальт]]&gt;0,Таблица17[[#This Row],[Бетон]]&gt;0)</f>
        <v>1</v>
      </c>
      <c r="O45" s="8">
        <v>1</v>
      </c>
      <c r="P45" s="8">
        <v>1</v>
      </c>
      <c r="Q45" s="8"/>
      <c r="R45" s="8"/>
      <c r="S45" s="8"/>
      <c r="T45" s="8"/>
      <c r="U45" s="8">
        <f>Таблица17[[#This Row],[Бетон]]+Таблица17[[#This Row],[Асфальт]]+Таблица17[[#This Row],[Щебень]]</f>
        <v>3.5</v>
      </c>
      <c r="V45" s="168"/>
    </row>
    <row r="46" spans="1:23" ht="70.5" hidden="1" x14ac:dyDescent="0.35">
      <c r="A46" s="171">
        <v>45</v>
      </c>
      <c r="B46" s="171" t="s">
        <v>88</v>
      </c>
      <c r="C46" s="171" t="s">
        <v>89</v>
      </c>
      <c r="D46" s="171" t="s">
        <v>550</v>
      </c>
      <c r="E46" s="171">
        <f>Таблица17[[#This Row],[Грунт]]+Таблица17[[#This Row],[Щебень]]+Таблица17[[#This Row],[Асфальт]]+Таблица17[[#This Row],[Бетон]]</f>
        <v>0.4</v>
      </c>
      <c r="F46" s="172">
        <v>0.4</v>
      </c>
      <c r="G46" s="173"/>
      <c r="H46" s="174"/>
      <c r="I46" s="175"/>
      <c r="J46" s="176"/>
      <c r="N46" s="8" t="b">
        <f>OR(Таблица17[[#This Row],[Щебень]]&gt;0,Таблица17[[#This Row],[Асфальт]]&gt;0,Таблица17[[#This Row],[Бетон]]&gt;0)</f>
        <v>0</v>
      </c>
      <c r="U46" s="8">
        <f>Таблица17[[#This Row],[Бетон]]+Таблица17[[#This Row],[Асфальт]]+Таблица17[[#This Row],[Щебень]]</f>
        <v>0</v>
      </c>
      <c r="V46" s="168"/>
    </row>
    <row r="47" spans="1:23" ht="70.5" hidden="1" x14ac:dyDescent="0.35">
      <c r="A47" s="171">
        <v>46</v>
      </c>
      <c r="B47" s="171" t="s">
        <v>90</v>
      </c>
      <c r="C47" s="171" t="s">
        <v>91</v>
      </c>
      <c r="D47" s="171" t="s">
        <v>550</v>
      </c>
      <c r="E47" s="171">
        <f>Таблица17[[#This Row],[Грунт]]+Таблица17[[#This Row],[Щебень]]+Таблица17[[#This Row],[Асфальт]]+Таблица17[[#This Row],[Бетон]]</f>
        <v>0.65</v>
      </c>
      <c r="F47" s="172"/>
      <c r="G47" s="173"/>
      <c r="H47" s="174">
        <v>0.65</v>
      </c>
      <c r="I47" s="175"/>
      <c r="J47" s="176"/>
      <c r="K47" s="8" t="s">
        <v>558</v>
      </c>
      <c r="N47" s="8" t="b">
        <f>OR(Таблица17[[#This Row],[Щебень]]&gt;0,Таблица17[[#This Row],[Асфальт]]&gt;0,Таблица17[[#This Row],[Бетон]]&gt;0)</f>
        <v>1</v>
      </c>
      <c r="O47" s="8">
        <v>1</v>
      </c>
      <c r="P47" s="8">
        <v>1</v>
      </c>
      <c r="U47" s="8">
        <f>Таблица17[[#This Row],[Бетон]]+Таблица17[[#This Row],[Асфальт]]+Таблица17[[#This Row],[Щебень]]</f>
        <v>0.65</v>
      </c>
      <c r="V47" s="168"/>
    </row>
    <row r="48" spans="1:23" ht="36" hidden="1" x14ac:dyDescent="0.35">
      <c r="A48" s="171">
        <v>47</v>
      </c>
      <c r="B48" s="171" t="s">
        <v>92</v>
      </c>
      <c r="C48" s="171" t="s">
        <v>93</v>
      </c>
      <c r="D48" s="171" t="s">
        <v>539</v>
      </c>
      <c r="E48" s="171">
        <f>Таблица17[[#This Row],[Грунт]]+Таблица17[[#This Row],[Щебень]]+Таблица17[[#This Row],[Асфальт]]+Таблица17[[#This Row],[Бетон]]</f>
        <v>5</v>
      </c>
      <c r="F48" s="172">
        <v>5</v>
      </c>
      <c r="G48" s="173"/>
      <c r="H48" s="174"/>
      <c r="I48" s="175"/>
      <c r="J48" s="176"/>
      <c r="N48" s="8" t="b">
        <f>OR(Таблица17[[#This Row],[Щебень]]&gt;0,Таблица17[[#This Row],[Асфальт]]&gt;0,Таблица17[[#This Row],[Бетон]]&gt;0)</f>
        <v>0</v>
      </c>
      <c r="U48" s="8">
        <f>Таблица17[[#This Row],[Бетон]]+Таблица17[[#This Row],[Асфальт]]+Таблица17[[#This Row],[Щебень]]</f>
        <v>0</v>
      </c>
      <c r="V48" s="168"/>
    </row>
    <row r="49" spans="1:23" ht="36" hidden="1" x14ac:dyDescent="0.35">
      <c r="A49" s="171">
        <v>48</v>
      </c>
      <c r="B49" s="171" t="s">
        <v>94</v>
      </c>
      <c r="C49" s="171" t="s">
        <v>95</v>
      </c>
      <c r="D49" s="171" t="s">
        <v>539</v>
      </c>
      <c r="E49" s="171">
        <f>Таблица17[[#This Row],[Грунт]]+Таблица17[[#This Row],[Щебень]]+Таблица17[[#This Row],[Асфальт]]+Таблица17[[#This Row],[Бетон]]</f>
        <v>4</v>
      </c>
      <c r="F49" s="172">
        <v>4</v>
      </c>
      <c r="G49" s="173"/>
      <c r="H49" s="174"/>
      <c r="I49" s="175"/>
      <c r="J49" s="176"/>
      <c r="K49" s="10" t="s">
        <v>557</v>
      </c>
      <c r="N49" s="8" t="b">
        <f>OR(Таблица17[[#This Row],[Щебень]]&gt;0,Таблица17[[#This Row],[Асфальт]]&gt;0,Таблица17[[#This Row],[Бетон]]&gt;0)</f>
        <v>0</v>
      </c>
      <c r="U49" s="8">
        <f>Таблица17[[#This Row],[Бетон]]+Таблица17[[#This Row],[Асфальт]]+Таблица17[[#This Row],[Щебень]]</f>
        <v>0</v>
      </c>
      <c r="V49" s="168"/>
    </row>
    <row r="50" spans="1:23" ht="36" hidden="1" x14ac:dyDescent="0.35">
      <c r="A50" s="171">
        <v>49</v>
      </c>
      <c r="B50" s="171" t="s">
        <v>96</v>
      </c>
      <c r="C50" s="171" t="s">
        <v>97</v>
      </c>
      <c r="D50" s="171" t="s">
        <v>539</v>
      </c>
      <c r="E50" s="171">
        <f>Таблица17[[#This Row],[Грунт]]+Таблица17[[#This Row],[Щебень]]+Таблица17[[#This Row],[Асфальт]]+Таблица17[[#This Row],[Бетон]]</f>
        <v>4</v>
      </c>
      <c r="F50" s="172">
        <v>4</v>
      </c>
      <c r="G50" s="173"/>
      <c r="H50" s="174"/>
      <c r="I50" s="175"/>
      <c r="J50" s="176"/>
      <c r="N50" s="8" t="b">
        <f>OR(Таблица17[[#This Row],[Щебень]]&gt;0,Таблица17[[#This Row],[Асфальт]]&gt;0,Таблица17[[#This Row],[Бетон]]&gt;0)</f>
        <v>0</v>
      </c>
      <c r="U50" s="8">
        <f>Таблица17[[#This Row],[Бетон]]+Таблица17[[#This Row],[Асфальт]]+Таблица17[[#This Row],[Щебень]]</f>
        <v>0</v>
      </c>
      <c r="V50" s="168"/>
    </row>
    <row r="51" spans="1:23" ht="2.25" hidden="1" customHeight="1" x14ac:dyDescent="0.35">
      <c r="A51" s="171">
        <v>50</v>
      </c>
      <c r="B51" s="171" t="s">
        <v>98</v>
      </c>
      <c r="C51" s="171" t="s">
        <v>99</v>
      </c>
      <c r="D51" s="171" t="s">
        <v>539</v>
      </c>
      <c r="E51" s="171">
        <f>Таблица17[[#This Row],[Грунт]]+Таблица17[[#This Row],[Щебень]]+Таблица17[[#This Row],[Асфальт]]+Таблица17[[#This Row],[Бетон]]</f>
        <v>2</v>
      </c>
      <c r="F51" s="172">
        <v>2</v>
      </c>
      <c r="G51" s="173"/>
      <c r="H51" s="174"/>
      <c r="I51" s="175"/>
      <c r="J51" s="176"/>
      <c r="N51" s="8" t="b">
        <f>OR(Таблица17[[#This Row],[Щебень]]&gt;0,Таблица17[[#This Row],[Асфальт]]&gt;0,Таблица17[[#This Row],[Бетон]]&gt;0)</f>
        <v>0</v>
      </c>
      <c r="U51" s="8">
        <f>Таблица17[[#This Row],[Бетон]]+Таблица17[[#This Row],[Асфальт]]+Таблица17[[#This Row],[Щебень]]</f>
        <v>0</v>
      </c>
      <c r="V51" s="168"/>
    </row>
    <row r="52" spans="1:23" ht="36" hidden="1" x14ac:dyDescent="0.35">
      <c r="A52" s="171">
        <v>51</v>
      </c>
      <c r="B52" s="171" t="s">
        <v>100</v>
      </c>
      <c r="C52" s="171" t="s">
        <v>101</v>
      </c>
      <c r="D52" s="171" t="s">
        <v>539</v>
      </c>
      <c r="E52" s="171">
        <f>Таблица17[[#This Row],[Грунт]]+Таблица17[[#This Row],[Щебень]]+Таблица17[[#This Row],[Асфальт]]+Таблица17[[#This Row],[Бетон]]</f>
        <v>2</v>
      </c>
      <c r="F52" s="172">
        <v>2</v>
      </c>
      <c r="G52" s="173"/>
      <c r="H52" s="174"/>
      <c r="I52" s="175"/>
      <c r="J52" s="176"/>
      <c r="N52" s="8" t="b">
        <f>OR(Таблица17[[#This Row],[Щебень]]&gt;0,Таблица17[[#This Row],[Асфальт]]&gt;0,Таблица17[[#This Row],[Бетон]]&gt;0)</f>
        <v>0</v>
      </c>
      <c r="U52" s="8">
        <f>Таблица17[[#This Row],[Бетон]]+Таблица17[[#This Row],[Асфальт]]+Таблица17[[#This Row],[Щебень]]</f>
        <v>0</v>
      </c>
      <c r="V52" s="168"/>
    </row>
    <row r="53" spans="1:23" ht="36" hidden="1" x14ac:dyDescent="0.35">
      <c r="A53" s="171">
        <v>52</v>
      </c>
      <c r="B53" s="171" t="s">
        <v>102</v>
      </c>
      <c r="C53" s="171" t="s">
        <v>103</v>
      </c>
      <c r="D53" s="171" t="s">
        <v>539</v>
      </c>
      <c r="E53" s="171">
        <f>Таблица17[[#This Row],[Грунт]]+Таблица17[[#This Row],[Щебень]]+Таблица17[[#This Row],[Асфальт]]+Таблица17[[#This Row],[Бетон]]</f>
        <v>3</v>
      </c>
      <c r="F53" s="172">
        <v>3</v>
      </c>
      <c r="G53" s="173"/>
      <c r="H53" s="174"/>
      <c r="I53" s="175"/>
      <c r="J53" s="176"/>
      <c r="N53" s="8" t="b">
        <f>OR(Таблица17[[#This Row],[Щебень]]&gt;0,Таблица17[[#This Row],[Асфальт]]&gt;0,Таблица17[[#This Row],[Бетон]]&gt;0)</f>
        <v>0</v>
      </c>
      <c r="U53" s="8">
        <f>Таблица17[[#This Row],[Бетон]]+Таблица17[[#This Row],[Асфальт]]+Таблица17[[#This Row],[Щебень]]</f>
        <v>0</v>
      </c>
      <c r="V53" s="168"/>
    </row>
    <row r="54" spans="1:23" ht="36" hidden="1" x14ac:dyDescent="0.35">
      <c r="A54" s="171">
        <v>53</v>
      </c>
      <c r="B54" s="171" t="s">
        <v>104</v>
      </c>
      <c r="C54" s="171" t="s">
        <v>105</v>
      </c>
      <c r="D54" s="171" t="s">
        <v>539</v>
      </c>
      <c r="E54" s="171">
        <f>Таблица17[[#This Row],[Грунт]]+Таблица17[[#This Row],[Щебень]]+Таблица17[[#This Row],[Асфальт]]+Таблица17[[#This Row],[Бетон]]</f>
        <v>2</v>
      </c>
      <c r="F54" s="172">
        <v>2</v>
      </c>
      <c r="G54" s="173"/>
      <c r="H54" s="174"/>
      <c r="I54" s="175"/>
      <c r="J54" s="176"/>
      <c r="N54" s="8" t="b">
        <f>OR(Таблица17[[#This Row],[Щебень]]&gt;0,Таблица17[[#This Row],[Асфальт]]&gt;0,Таблица17[[#This Row],[Бетон]]&gt;0)</f>
        <v>0</v>
      </c>
      <c r="U54" s="8">
        <f>Таблица17[[#This Row],[Бетон]]+Таблица17[[#This Row],[Асфальт]]+Таблица17[[#This Row],[Щебень]]</f>
        <v>0</v>
      </c>
      <c r="V54" s="168"/>
    </row>
    <row r="55" spans="1:23" ht="36" hidden="1" x14ac:dyDescent="0.35">
      <c r="A55" s="171">
        <v>54</v>
      </c>
      <c r="B55" s="171" t="s">
        <v>106</v>
      </c>
      <c r="C55" s="171" t="s">
        <v>107</v>
      </c>
      <c r="D55" s="171" t="s">
        <v>539</v>
      </c>
      <c r="E55" s="171">
        <f>Таблица17[[#This Row],[Грунт]]+Таблица17[[#This Row],[Щебень]]+Таблица17[[#This Row],[Асфальт]]+Таблица17[[#This Row],[Бетон]]</f>
        <v>2</v>
      </c>
      <c r="F55" s="172">
        <v>2</v>
      </c>
      <c r="G55" s="173"/>
      <c r="H55" s="174"/>
      <c r="I55" s="175"/>
      <c r="J55" s="176"/>
      <c r="N55" s="8" t="b">
        <f>OR(Таблица17[[#This Row],[Щебень]]&gt;0,Таблица17[[#This Row],[Асфальт]]&gt;0,Таблица17[[#This Row],[Бетон]]&gt;0)</f>
        <v>0</v>
      </c>
      <c r="U55" s="8">
        <f>Таблица17[[#This Row],[Бетон]]+Таблица17[[#This Row],[Асфальт]]+Таблица17[[#This Row],[Щебень]]</f>
        <v>0</v>
      </c>
      <c r="V55" s="168"/>
    </row>
    <row r="56" spans="1:23" ht="36" hidden="1" x14ac:dyDescent="0.35">
      <c r="A56" s="171">
        <v>55</v>
      </c>
      <c r="B56" s="171" t="s">
        <v>108</v>
      </c>
      <c r="C56" s="171" t="s">
        <v>109</v>
      </c>
      <c r="D56" s="171" t="s">
        <v>539</v>
      </c>
      <c r="E56" s="171">
        <f>Таблица17[[#This Row],[Грунт]]+Таблица17[[#This Row],[Щебень]]+Таблица17[[#This Row],[Асфальт]]+Таблица17[[#This Row],[Бетон]]</f>
        <v>2</v>
      </c>
      <c r="F56" s="172">
        <v>2</v>
      </c>
      <c r="G56" s="173"/>
      <c r="H56" s="174"/>
      <c r="I56" s="175"/>
      <c r="J56" s="176"/>
      <c r="N56" s="8" t="b">
        <f>OR(Таблица17[[#This Row],[Щебень]]&gt;0,Таблица17[[#This Row],[Асфальт]]&gt;0,Таблица17[[#This Row],[Бетон]]&gt;0)</f>
        <v>0</v>
      </c>
      <c r="U56" s="8">
        <f>Таблица17[[#This Row],[Бетон]]+Таблица17[[#This Row],[Асфальт]]+Таблица17[[#This Row],[Щебень]]</f>
        <v>0</v>
      </c>
      <c r="V56" s="168"/>
    </row>
    <row r="57" spans="1:23" ht="36" hidden="1" x14ac:dyDescent="0.35">
      <c r="A57" s="171">
        <v>56</v>
      </c>
      <c r="B57" s="171" t="s">
        <v>110</v>
      </c>
      <c r="C57" s="171" t="s">
        <v>111</v>
      </c>
      <c r="D57" s="171" t="s">
        <v>539</v>
      </c>
      <c r="E57" s="171">
        <f>Таблица17[[#This Row],[Грунт]]+Таблица17[[#This Row],[Щебень]]+Таблица17[[#This Row],[Асфальт]]+Таблица17[[#This Row],[Бетон]]</f>
        <v>2</v>
      </c>
      <c r="F57" s="172">
        <v>2</v>
      </c>
      <c r="G57" s="173"/>
      <c r="H57" s="174"/>
      <c r="I57" s="175"/>
      <c r="J57" s="176"/>
      <c r="N57" s="8" t="b">
        <f>OR(Таблица17[[#This Row],[Щебень]]&gt;0,Таблица17[[#This Row],[Асфальт]]&gt;0,Таблица17[[#This Row],[Бетон]]&gt;0)</f>
        <v>0</v>
      </c>
      <c r="U57" s="8">
        <f>Таблица17[[#This Row],[Бетон]]+Таблица17[[#This Row],[Асфальт]]+Таблица17[[#This Row],[Щебень]]</f>
        <v>0</v>
      </c>
      <c r="V57" s="168"/>
    </row>
    <row r="58" spans="1:23" ht="36" hidden="1" x14ac:dyDescent="0.35">
      <c r="A58" s="171">
        <v>57</v>
      </c>
      <c r="B58" s="171" t="s">
        <v>112</v>
      </c>
      <c r="C58" s="171" t="s">
        <v>113</v>
      </c>
      <c r="D58" s="171" t="s">
        <v>539</v>
      </c>
      <c r="E58" s="171">
        <f>Таблица17[[#This Row],[Грунт]]+Таблица17[[#This Row],[Щебень]]+Таблица17[[#This Row],[Асфальт]]+Таблица17[[#This Row],[Бетон]]</f>
        <v>2</v>
      </c>
      <c r="F58" s="172"/>
      <c r="G58" s="173">
        <v>2</v>
      </c>
      <c r="H58" s="174"/>
      <c r="I58" s="175"/>
      <c r="J58" s="176"/>
      <c r="N58" s="8" t="b">
        <f>OR(Таблица17[[#This Row],[Щебень]]&gt;0,Таблица17[[#This Row],[Асфальт]]&gt;0,Таблица17[[#This Row],[Бетон]]&gt;0)</f>
        <v>1</v>
      </c>
      <c r="U58" s="8">
        <f>Таблица17[[#This Row],[Бетон]]+Таблица17[[#This Row],[Асфальт]]+Таблица17[[#This Row],[Щебень]]</f>
        <v>2</v>
      </c>
      <c r="V58" s="168"/>
    </row>
    <row r="59" spans="1:23" ht="105.75" hidden="1" x14ac:dyDescent="0.35">
      <c r="A59" s="171">
        <v>58</v>
      </c>
      <c r="B59" s="171" t="s">
        <v>114</v>
      </c>
      <c r="C59" s="171" t="s">
        <v>533</v>
      </c>
      <c r="D59" s="171" t="s">
        <v>539</v>
      </c>
      <c r="E59" s="171">
        <f>Таблица17[[#This Row],[Грунт]]+Таблица17[[#This Row],[Щебень]]+Таблица17[[#This Row],[Асфальт]]+Таблица17[[#This Row],[Бетон]]</f>
        <v>4</v>
      </c>
      <c r="F59" s="172">
        <v>1.5</v>
      </c>
      <c r="G59" s="173">
        <v>2.5</v>
      </c>
      <c r="H59" s="174"/>
      <c r="I59" s="175"/>
      <c r="J59" s="176"/>
      <c r="K59" s="10" t="s">
        <v>557</v>
      </c>
      <c r="N59" s="8" t="b">
        <f>OR(Таблица17[[#This Row],[Щебень]]&gt;0,Таблица17[[#This Row],[Асфальт]]&gt;0,Таблица17[[#This Row],[Бетон]]&gt;0)</f>
        <v>1</v>
      </c>
      <c r="O59" s="8">
        <v>1</v>
      </c>
      <c r="P59" s="8">
        <v>1</v>
      </c>
      <c r="U59" s="8">
        <f>Таблица17[[#This Row],[Бетон]]+Таблица17[[#This Row],[Асфальт]]+Таблица17[[#This Row],[Щебень]]</f>
        <v>2.5</v>
      </c>
      <c r="V59" s="168"/>
    </row>
    <row r="60" spans="1:23" ht="70.5" hidden="1" x14ac:dyDescent="0.35">
      <c r="A60" s="171">
        <v>59</v>
      </c>
      <c r="B60" s="171" t="s">
        <v>115</v>
      </c>
      <c r="C60" s="171" t="s">
        <v>116</v>
      </c>
      <c r="D60" s="171" t="s">
        <v>539</v>
      </c>
      <c r="E60" s="171">
        <f>Таблица17[[#This Row],[Грунт]]+Таблица17[[#This Row],[Щебень]]+Таблица17[[#This Row],[Асфальт]]+Таблица17[[#This Row],[Бетон]]</f>
        <v>2</v>
      </c>
      <c r="F60" s="172">
        <v>2</v>
      </c>
      <c r="G60" s="173"/>
      <c r="H60" s="174"/>
      <c r="I60" s="175"/>
      <c r="J60" s="176"/>
      <c r="N60" s="8" t="b">
        <f>OR(Таблица17[[#This Row],[Щебень]]&gt;0,Таблица17[[#This Row],[Асфальт]]&gt;0,Таблица17[[#This Row],[Бетон]]&gt;0)</f>
        <v>0</v>
      </c>
      <c r="U60" s="8">
        <f>Таблица17[[#This Row],[Бетон]]+Таблица17[[#This Row],[Асфальт]]+Таблица17[[#This Row],[Щебень]]</f>
        <v>0</v>
      </c>
      <c r="V60" s="168"/>
    </row>
    <row r="61" spans="1:23" ht="70.5" hidden="1" x14ac:dyDescent="0.35">
      <c r="A61" s="171">
        <v>60</v>
      </c>
      <c r="B61" s="171" t="s">
        <v>117</v>
      </c>
      <c r="C61" s="171" t="s">
        <v>118</v>
      </c>
      <c r="D61" s="171" t="s">
        <v>548</v>
      </c>
      <c r="E61" s="171">
        <f>Таблица17[[#This Row],[Грунт]]+Таблица17[[#This Row],[Щебень]]+Таблица17[[#This Row],[Асфальт]]+Таблица17[[#This Row],[Бетон]]</f>
        <v>3</v>
      </c>
      <c r="F61" s="172"/>
      <c r="G61" s="173"/>
      <c r="H61" s="174">
        <v>3</v>
      </c>
      <c r="I61" s="175"/>
      <c r="J61" s="176"/>
      <c r="N61" s="8" t="b">
        <f>OR(Таблица17[[#This Row],[Щебень]]&gt;0,Таблица17[[#This Row],[Асфальт]]&gt;0,Таблица17[[#This Row],[Бетон]]&gt;0)</f>
        <v>1</v>
      </c>
      <c r="O61" s="8">
        <v>1</v>
      </c>
      <c r="P61" s="8">
        <v>1</v>
      </c>
      <c r="U61" s="8">
        <f>Таблица17[[#This Row],[Бетон]]+Таблица17[[#This Row],[Асфальт]]+Таблица17[[#This Row],[Щебень]]</f>
        <v>3</v>
      </c>
      <c r="V61" s="168"/>
      <c r="W61" s="8">
        <v>3</v>
      </c>
    </row>
    <row r="62" spans="1:23" ht="70.5" hidden="1" x14ac:dyDescent="0.35">
      <c r="A62" s="171">
        <v>61</v>
      </c>
      <c r="B62" s="171" t="s">
        <v>119</v>
      </c>
      <c r="C62" s="171" t="s">
        <v>120</v>
      </c>
      <c r="D62" s="171" t="s">
        <v>548</v>
      </c>
      <c r="E62" s="171">
        <f>Таблица17[[#This Row],[Грунт]]+Таблица17[[#This Row],[Щебень]]+Таблица17[[#This Row],[Асфальт]]+Таблица17[[#This Row],[Бетон]]</f>
        <v>2.5</v>
      </c>
      <c r="F62" s="172">
        <v>2.5</v>
      </c>
      <c r="G62" s="173"/>
      <c r="H62" s="174"/>
      <c r="I62" s="175"/>
      <c r="J62" s="176"/>
      <c r="N62" s="8" t="b">
        <f>OR(Таблица17[[#This Row],[Щебень]]&gt;0,Таблица17[[#This Row],[Асфальт]]&gt;0,Таблица17[[#This Row],[Бетон]]&gt;0)</f>
        <v>0</v>
      </c>
      <c r="U62" s="8">
        <f>Таблица17[[#This Row],[Бетон]]+Таблица17[[#This Row],[Асфальт]]+Таблица17[[#This Row],[Щебень]]</f>
        <v>0</v>
      </c>
      <c r="V62" s="168"/>
    </row>
    <row r="63" spans="1:23" ht="70.5" hidden="1" x14ac:dyDescent="0.35">
      <c r="A63" s="171">
        <v>62</v>
      </c>
      <c r="B63" s="171" t="s">
        <v>121</v>
      </c>
      <c r="C63" s="171" t="s">
        <v>122</v>
      </c>
      <c r="D63" s="171" t="s">
        <v>548</v>
      </c>
      <c r="E63" s="171">
        <f>Таблица17[[#This Row],[Грунт]]+Таблица17[[#This Row],[Щебень]]+Таблица17[[#This Row],[Асфальт]]+Таблица17[[#This Row],[Бетон]]</f>
        <v>1.5</v>
      </c>
      <c r="F63" s="172">
        <v>1.5</v>
      </c>
      <c r="G63" s="173"/>
      <c r="H63" s="174"/>
      <c r="I63" s="175"/>
      <c r="J63" s="176"/>
      <c r="N63" s="8" t="b">
        <f>OR(Таблица17[[#This Row],[Щебень]]&gt;0,Таблица17[[#This Row],[Асфальт]]&gt;0,Таблица17[[#This Row],[Бетон]]&gt;0)</f>
        <v>0</v>
      </c>
      <c r="U63" s="8">
        <f>Таблица17[[#This Row],[Бетон]]+Таблица17[[#This Row],[Асфальт]]+Таблица17[[#This Row],[Щебень]]</f>
        <v>0</v>
      </c>
      <c r="V63" s="168"/>
    </row>
    <row r="64" spans="1:23" ht="36" hidden="1" x14ac:dyDescent="0.35">
      <c r="A64" s="171">
        <v>63</v>
      </c>
      <c r="B64" s="171" t="s">
        <v>123</v>
      </c>
      <c r="C64" s="171" t="s">
        <v>124</v>
      </c>
      <c r="D64" s="171" t="s">
        <v>545</v>
      </c>
      <c r="E64" s="171">
        <v>2.1</v>
      </c>
      <c r="F64" s="172"/>
      <c r="G64" s="173"/>
      <c r="H64" s="174">
        <v>2.1</v>
      </c>
      <c r="I64" s="175"/>
      <c r="J64" s="176"/>
      <c r="N64" s="8" t="b">
        <f>OR(Таблица17[[#This Row],[Щебень]]&gt;0,Таблица17[[#This Row],[Асфальт]]&gt;0,Таблица17[[#This Row],[Бетон]]&gt;0)</f>
        <v>1</v>
      </c>
      <c r="O64" s="8">
        <v>1</v>
      </c>
      <c r="P64" s="8">
        <v>1</v>
      </c>
      <c r="U64" s="8">
        <f>Таблица17[[#This Row],[Бетон]]+Таблица17[[#This Row],[Асфальт]]+Таблица17[[#This Row],[Щебень]]</f>
        <v>2.1</v>
      </c>
      <c r="V64" s="168"/>
    </row>
    <row r="65" spans="1:24" ht="36" hidden="1" x14ac:dyDescent="0.35">
      <c r="A65" s="171">
        <v>64</v>
      </c>
      <c r="B65" s="171" t="s">
        <v>125</v>
      </c>
      <c r="C65" s="171" t="s">
        <v>126</v>
      </c>
      <c r="D65" s="171" t="s">
        <v>545</v>
      </c>
      <c r="E65" s="171">
        <f>Таблица17[[#This Row],[Грунт]]+Таблица17[[#This Row],[Щебень]]+Таблица17[[#This Row],[Асфальт]]+Таблица17[[#This Row],[Бетон]]</f>
        <v>3.5</v>
      </c>
      <c r="F65" s="172">
        <v>3.5</v>
      </c>
      <c r="G65" s="173"/>
      <c r="H65" s="174"/>
      <c r="I65" s="175"/>
      <c r="J65" s="176"/>
      <c r="N65" s="8" t="b">
        <f>OR(Таблица17[[#This Row],[Щебень]]&gt;0,Таблица17[[#This Row],[Асфальт]]&gt;0,Таблица17[[#This Row],[Бетон]]&gt;0)</f>
        <v>0</v>
      </c>
      <c r="U65" s="8">
        <f>Таблица17[[#This Row],[Бетон]]+Таблица17[[#This Row],[Асфальт]]+Таблица17[[#This Row],[Щебень]]</f>
        <v>0</v>
      </c>
      <c r="V65" s="168"/>
    </row>
    <row r="66" spans="1:24" ht="36" hidden="1" x14ac:dyDescent="0.35">
      <c r="A66" s="171">
        <v>65</v>
      </c>
      <c r="B66" s="171" t="s">
        <v>127</v>
      </c>
      <c r="C66" s="171" t="s">
        <v>128</v>
      </c>
      <c r="D66" s="171" t="s">
        <v>545</v>
      </c>
      <c r="E66" s="171">
        <f>Таблица17[[#This Row],[Грунт]]+Таблица17[[#This Row],[Щебень]]+Таблица17[[#This Row],[Асфальт]]+Таблица17[[#This Row],[Бетон]]</f>
        <v>3</v>
      </c>
      <c r="F66" s="172">
        <v>3</v>
      </c>
      <c r="G66" s="173"/>
      <c r="H66" s="174"/>
      <c r="I66" s="175"/>
      <c r="J66" s="176"/>
      <c r="N66" s="8" t="b">
        <f>OR(Таблица17[[#This Row],[Щебень]]&gt;0,Таблица17[[#This Row],[Асфальт]]&gt;0,Таблица17[[#This Row],[Бетон]]&gt;0)</f>
        <v>0</v>
      </c>
      <c r="U66" s="8">
        <f>Таблица17[[#This Row],[Бетон]]+Таблица17[[#This Row],[Асфальт]]+Таблица17[[#This Row],[Щебень]]</f>
        <v>0</v>
      </c>
      <c r="V66" s="168"/>
    </row>
    <row r="67" spans="1:24" ht="36" hidden="1" x14ac:dyDescent="0.35">
      <c r="A67" s="171">
        <v>66</v>
      </c>
      <c r="B67" s="171" t="s">
        <v>129</v>
      </c>
      <c r="C67" s="171" t="s">
        <v>130</v>
      </c>
      <c r="D67" s="171" t="s">
        <v>545</v>
      </c>
      <c r="E67" s="171">
        <f>Таблица17[[#This Row],[Грунт]]+Таблица17[[#This Row],[Щебень]]+Таблица17[[#This Row],[Асфальт]]+Таблица17[[#This Row],[Бетон]]</f>
        <v>2</v>
      </c>
      <c r="F67" s="172"/>
      <c r="G67" s="173">
        <v>2</v>
      </c>
      <c r="H67" s="174"/>
      <c r="I67" s="175"/>
      <c r="J67" s="176"/>
      <c r="N67" s="8" t="b">
        <f>OR(Таблица17[[#This Row],[Щебень]]&gt;0,Таблица17[[#This Row],[Асфальт]]&gt;0,Таблица17[[#This Row],[Бетон]]&gt;0)</f>
        <v>1</v>
      </c>
      <c r="U67" s="8">
        <f>Таблица17[[#This Row],[Бетон]]+Таблица17[[#This Row],[Асфальт]]+Таблица17[[#This Row],[Щебень]]</f>
        <v>2</v>
      </c>
      <c r="V67" s="168"/>
    </row>
    <row r="68" spans="1:24" ht="36" hidden="1" x14ac:dyDescent="0.35">
      <c r="A68" s="171">
        <v>67</v>
      </c>
      <c r="B68" s="171" t="s">
        <v>131</v>
      </c>
      <c r="C68" s="171" t="s">
        <v>132</v>
      </c>
      <c r="D68" s="171" t="s">
        <v>545</v>
      </c>
      <c r="E68" s="171">
        <f>Таблица17[[#This Row],[Грунт]]+Таблица17[[#This Row],[Щебень]]+Таблица17[[#This Row],[Асфальт]]+Таблица17[[#This Row],[Бетон]]</f>
        <v>0.5</v>
      </c>
      <c r="F68" s="172"/>
      <c r="G68" s="173">
        <v>0.5</v>
      </c>
      <c r="H68" s="174"/>
      <c r="I68" s="175"/>
      <c r="J68" s="176"/>
      <c r="N68" s="8" t="b">
        <f>OR(Таблица17[[#This Row],[Щебень]]&gt;0,Таблица17[[#This Row],[Асфальт]]&gt;0,Таблица17[[#This Row],[Бетон]]&gt;0)</f>
        <v>1</v>
      </c>
      <c r="U68" s="8">
        <f>Таблица17[[#This Row],[Бетон]]+Таблица17[[#This Row],[Асфальт]]+Таблица17[[#This Row],[Щебень]]</f>
        <v>0.5</v>
      </c>
      <c r="V68" s="168"/>
    </row>
    <row r="69" spans="1:24" ht="36" hidden="1" x14ac:dyDescent="0.35">
      <c r="A69" s="171">
        <v>68</v>
      </c>
      <c r="B69" s="171" t="s">
        <v>133</v>
      </c>
      <c r="C69" s="171" t="s">
        <v>134</v>
      </c>
      <c r="D69" s="171" t="s">
        <v>545</v>
      </c>
      <c r="E69" s="171">
        <f>Таблица17[[#This Row],[Грунт]]+Таблица17[[#This Row],[Щебень]]+Таблица17[[#This Row],[Асфальт]]+Таблица17[[#This Row],[Бетон]]</f>
        <v>4</v>
      </c>
      <c r="F69" s="172">
        <v>4</v>
      </c>
      <c r="G69" s="173"/>
      <c r="H69" s="174"/>
      <c r="I69" s="175"/>
      <c r="J69" s="176"/>
      <c r="N69" s="8" t="b">
        <f>OR(Таблица17[[#This Row],[Щебень]]&gt;0,Таблица17[[#This Row],[Асфальт]]&gt;0,Таблица17[[#This Row],[Бетон]]&gt;0)</f>
        <v>0</v>
      </c>
      <c r="U69" s="8">
        <f>Таблица17[[#This Row],[Бетон]]+Таблица17[[#This Row],[Асфальт]]+Таблица17[[#This Row],[Щебень]]</f>
        <v>0</v>
      </c>
      <c r="V69" s="168"/>
    </row>
    <row r="70" spans="1:24" ht="36" hidden="1" x14ac:dyDescent="0.35">
      <c r="A70" s="171">
        <v>69</v>
      </c>
      <c r="B70" s="171" t="s">
        <v>135</v>
      </c>
      <c r="C70" s="171" t="s">
        <v>136</v>
      </c>
      <c r="D70" s="171" t="s">
        <v>545</v>
      </c>
      <c r="E70" s="171">
        <f>Таблица17[[#This Row],[Грунт]]+Таблица17[[#This Row],[Щебень]]+Таблица17[[#This Row],[Асфальт]]+Таблица17[[#This Row],[Бетон]]</f>
        <v>0.2</v>
      </c>
      <c r="F70" s="172">
        <v>0.2</v>
      </c>
      <c r="G70" s="173"/>
      <c r="H70" s="174"/>
      <c r="I70" s="175"/>
      <c r="J70" s="176"/>
      <c r="N70" s="8" t="b">
        <f>OR(Таблица17[[#This Row],[Щебень]]&gt;0,Таблица17[[#This Row],[Асфальт]]&gt;0,Таблица17[[#This Row],[Бетон]]&gt;0)</f>
        <v>0</v>
      </c>
      <c r="U70" s="8">
        <f>Таблица17[[#This Row],[Бетон]]+Таблица17[[#This Row],[Асфальт]]+Таблица17[[#This Row],[Щебень]]</f>
        <v>0</v>
      </c>
      <c r="V70" s="168"/>
    </row>
    <row r="71" spans="1:24" ht="36" hidden="1" x14ac:dyDescent="0.35">
      <c r="A71" s="171">
        <v>70</v>
      </c>
      <c r="B71" s="171" t="s">
        <v>137</v>
      </c>
      <c r="C71" s="171" t="s">
        <v>138</v>
      </c>
      <c r="D71" s="171" t="s">
        <v>545</v>
      </c>
      <c r="E71" s="171">
        <f>Таблица17[[#This Row],[Грунт]]+Таблица17[[#This Row],[Щебень]]+Таблица17[[#This Row],[Асфальт]]+Таблица17[[#This Row],[Бетон]]</f>
        <v>1.5</v>
      </c>
      <c r="F71" s="172">
        <v>0</v>
      </c>
      <c r="G71" s="173">
        <v>1.5</v>
      </c>
      <c r="H71" s="174"/>
      <c r="I71" s="175"/>
      <c r="J71" s="176"/>
      <c r="N71" s="8" t="b">
        <f>OR(Таблица17[[#This Row],[Щебень]]&gt;0,Таблица17[[#This Row],[Асфальт]]&gt;0,Таблица17[[#This Row],[Бетон]]&gt;0)</f>
        <v>1</v>
      </c>
      <c r="U71" s="8">
        <f>Таблица17[[#This Row],[Бетон]]+Таблица17[[#This Row],[Асфальт]]+Таблица17[[#This Row],[Щебень]]</f>
        <v>1.5</v>
      </c>
      <c r="V71" s="168"/>
    </row>
    <row r="72" spans="1:24" ht="36" hidden="1" x14ac:dyDescent="0.35">
      <c r="A72" s="171">
        <v>71</v>
      </c>
      <c r="B72" s="171" t="s">
        <v>139</v>
      </c>
      <c r="C72" s="171" t="s">
        <v>140</v>
      </c>
      <c r="D72" s="171" t="s">
        <v>545</v>
      </c>
      <c r="E72" s="171">
        <f>Таблица17[[#This Row],[Грунт]]+Таблица17[[#This Row],[Щебень]]+Таблица17[[#This Row],[Асфальт]]+Таблица17[[#This Row],[Бетон]]</f>
        <v>3</v>
      </c>
      <c r="F72" s="172">
        <v>3</v>
      </c>
      <c r="G72" s="173"/>
      <c r="H72" s="174"/>
      <c r="I72" s="175"/>
      <c r="J72" s="176"/>
      <c r="N72" s="8" t="b">
        <f>OR(Таблица17[[#This Row],[Щебень]]&gt;0,Таблица17[[#This Row],[Асфальт]]&gt;0,Таблица17[[#This Row],[Бетон]]&gt;0)</f>
        <v>0</v>
      </c>
      <c r="U72" s="8">
        <f>Таблица17[[#This Row],[Бетон]]+Таблица17[[#This Row],[Асфальт]]+Таблица17[[#This Row],[Щебень]]</f>
        <v>0</v>
      </c>
      <c r="V72" s="168"/>
    </row>
    <row r="73" spans="1:24" ht="36" hidden="1" x14ac:dyDescent="0.35">
      <c r="A73" s="171">
        <v>72</v>
      </c>
      <c r="B73" s="171" t="s">
        <v>141</v>
      </c>
      <c r="C73" s="171" t="s">
        <v>142</v>
      </c>
      <c r="D73" s="171" t="s">
        <v>545</v>
      </c>
      <c r="E73" s="171">
        <f>Таблица17[[#This Row],[Грунт]]+Таблица17[[#This Row],[Щебень]]+Таблица17[[#This Row],[Асфальт]]+Таблица17[[#This Row],[Бетон]]</f>
        <v>2</v>
      </c>
      <c r="F73" s="172"/>
      <c r="G73" s="173"/>
      <c r="H73" s="174">
        <v>2</v>
      </c>
      <c r="I73" s="175"/>
      <c r="J73" s="176"/>
      <c r="K73" s="10" t="s">
        <v>557</v>
      </c>
      <c r="N73" s="8" t="b">
        <f>OR(Таблица17[[#This Row],[Щебень]]&gt;0,Таблица17[[#This Row],[Асфальт]]&gt;0,Таблица17[[#This Row],[Бетон]]&gt;0)</f>
        <v>1</v>
      </c>
      <c r="U73" s="8">
        <f>Таблица17[[#This Row],[Бетон]]+Таблица17[[#This Row],[Асфальт]]+Таблица17[[#This Row],[Щебень]]</f>
        <v>2</v>
      </c>
      <c r="V73" s="168"/>
    </row>
    <row r="74" spans="1:24" ht="36" hidden="1" x14ac:dyDescent="0.35">
      <c r="A74" s="171">
        <v>73</v>
      </c>
      <c r="B74" s="171" t="s">
        <v>143</v>
      </c>
      <c r="C74" s="171" t="s">
        <v>144</v>
      </c>
      <c r="D74" s="171" t="s">
        <v>545</v>
      </c>
      <c r="E74" s="171">
        <f>Таблица17[[#This Row],[Грунт]]+Таблица17[[#This Row],[Щебень]]+Таблица17[[#This Row],[Асфальт]]+Таблица17[[#This Row],[Бетон]]</f>
        <v>1</v>
      </c>
      <c r="F74" s="172">
        <v>1</v>
      </c>
      <c r="G74" s="173"/>
      <c r="H74" s="174"/>
      <c r="I74" s="175"/>
      <c r="J74" s="176"/>
      <c r="N74" s="8" t="b">
        <f>OR(Таблица17[[#This Row],[Щебень]]&gt;0,Таблица17[[#This Row],[Асфальт]]&gt;0,Таблица17[[#This Row],[Бетон]]&gt;0)</f>
        <v>0</v>
      </c>
      <c r="U74" s="8">
        <f>Таблица17[[#This Row],[Бетон]]+Таблица17[[#This Row],[Асфальт]]+Таблица17[[#This Row],[Щебень]]</f>
        <v>0</v>
      </c>
      <c r="V74" s="168"/>
    </row>
    <row r="75" spans="1:24" s="111" customFormat="1" ht="70.5" hidden="1" x14ac:dyDescent="0.35">
      <c r="A75" s="180">
        <v>74</v>
      </c>
      <c r="B75" s="180" t="s">
        <v>145</v>
      </c>
      <c r="C75" s="180" t="s">
        <v>146</v>
      </c>
      <c r="D75" s="180" t="s">
        <v>543</v>
      </c>
      <c r="E75" s="180">
        <f>Таблица17[[#This Row],[Грунт]]+Таблица17[[#This Row],[Щебень]]+Таблица17[[#This Row],[Асфальт]]+Таблица17[[#This Row],[Бетон]]</f>
        <v>1.5</v>
      </c>
      <c r="F75" s="172">
        <v>1.5</v>
      </c>
      <c r="G75" s="181"/>
      <c r="H75" s="174"/>
      <c r="I75" s="181"/>
      <c r="J75" s="176"/>
      <c r="K75" s="110" t="s">
        <v>557</v>
      </c>
      <c r="N75" s="111" t="b">
        <f>OR(Таблица17[[#This Row],[Щебень]]&gt;0,Таблица17[[#This Row],[Асфальт]]&gt;0,Таблица17[[#This Row],[Бетон]]&gt;0)</f>
        <v>0</v>
      </c>
      <c r="O75" s="8"/>
      <c r="P75" s="8"/>
      <c r="Q75" s="8"/>
      <c r="R75" s="8"/>
      <c r="S75" s="8"/>
      <c r="T75" s="8"/>
      <c r="U75" s="8">
        <f>Таблица17[[#This Row],[Бетон]]+Таблица17[[#This Row],[Асфальт]]+Таблица17[[#This Row],[Щебень]]</f>
        <v>0</v>
      </c>
      <c r="V75" s="168"/>
    </row>
    <row r="76" spans="1:24" ht="36" hidden="1" x14ac:dyDescent="0.35">
      <c r="A76" s="171">
        <v>75</v>
      </c>
      <c r="B76" s="171" t="s">
        <v>147</v>
      </c>
      <c r="C76" s="171" t="s">
        <v>148</v>
      </c>
      <c r="D76" s="171" t="s">
        <v>543</v>
      </c>
      <c r="E76" s="171">
        <f>Таблица17[[#This Row],[Грунт]]+Таблица17[[#This Row],[Щебень]]+Таблица17[[#This Row],[Асфальт]]+Таблица17[[#This Row],[Бетон]]</f>
        <v>4</v>
      </c>
      <c r="F76" s="172">
        <v>4</v>
      </c>
      <c r="G76" s="173"/>
      <c r="H76" s="174"/>
      <c r="I76" s="175"/>
      <c r="J76" s="176"/>
      <c r="N76" s="8" t="b">
        <f>OR(Таблица17[[#This Row],[Щебень]]&gt;0,Таблица17[[#This Row],[Асфальт]]&gt;0,Таблица17[[#This Row],[Бетон]]&gt;0)</f>
        <v>0</v>
      </c>
      <c r="U76" s="8">
        <f>Таблица17[[#This Row],[Бетон]]+Таблица17[[#This Row],[Асфальт]]+Таблица17[[#This Row],[Щебень]]</f>
        <v>0</v>
      </c>
      <c r="V76" s="168"/>
    </row>
    <row r="77" spans="1:24" ht="36" hidden="1" x14ac:dyDescent="0.35">
      <c r="A77" s="171">
        <v>76</v>
      </c>
      <c r="B77" s="171" t="s">
        <v>149</v>
      </c>
      <c r="C77" s="171" t="s">
        <v>150</v>
      </c>
      <c r="D77" s="171" t="s">
        <v>543</v>
      </c>
      <c r="E77" s="171">
        <f>Таблица17[[#This Row],[Грунт]]+Таблица17[[#This Row],[Щебень]]+Таблица17[[#This Row],[Асфальт]]+Таблица17[[#This Row],[Бетон]]</f>
        <v>0.5</v>
      </c>
      <c r="F77" s="172">
        <v>0.5</v>
      </c>
      <c r="G77" s="173"/>
      <c r="H77" s="174"/>
      <c r="I77" s="175"/>
      <c r="J77" s="176"/>
      <c r="N77" s="8" t="b">
        <f>OR(Таблица17[[#This Row],[Щебень]]&gt;0,Таблица17[[#This Row],[Асфальт]]&gt;0,Таблица17[[#This Row],[Бетон]]&gt;0)</f>
        <v>0</v>
      </c>
      <c r="U77" s="8">
        <f>Таблица17[[#This Row],[Бетон]]+Таблица17[[#This Row],[Асфальт]]+Таблица17[[#This Row],[Щебень]]</f>
        <v>0</v>
      </c>
      <c r="V77" s="168"/>
    </row>
    <row r="78" spans="1:24" ht="36" hidden="1" x14ac:dyDescent="0.35">
      <c r="A78" s="171">
        <v>77</v>
      </c>
      <c r="B78" s="171" t="s">
        <v>151</v>
      </c>
      <c r="C78" s="171" t="s">
        <v>152</v>
      </c>
      <c r="D78" s="171" t="s">
        <v>543</v>
      </c>
      <c r="E78" s="171">
        <f>Таблица17[[#This Row],[Грунт]]+Таблица17[[#This Row],[Щебень]]+Таблица17[[#This Row],[Асфальт]]+Таблица17[[#This Row],[Бетон]]</f>
        <v>1</v>
      </c>
      <c r="F78" s="172"/>
      <c r="G78" s="173"/>
      <c r="H78" s="174">
        <v>1</v>
      </c>
      <c r="I78" s="175"/>
      <c r="J78" s="176"/>
      <c r="N78" s="8" t="b">
        <f>OR(Таблица17[[#This Row],[Щебень]]&gt;0,Таблица17[[#This Row],[Асфальт]]&gt;0,Таблица17[[#This Row],[Бетон]]&gt;0)</f>
        <v>1</v>
      </c>
      <c r="O78" s="8">
        <v>1</v>
      </c>
      <c r="U78" s="8">
        <f>Таблица17[[#This Row],[Бетон]]+Таблица17[[#This Row],[Асфальт]]+Таблица17[[#This Row],[Щебень]]</f>
        <v>1</v>
      </c>
      <c r="V78" s="168"/>
      <c r="W78" s="8">
        <v>0</v>
      </c>
      <c r="X78" s="8">
        <v>1</v>
      </c>
    </row>
    <row r="79" spans="1:24" ht="70.5" hidden="1" x14ac:dyDescent="0.35">
      <c r="A79" s="171">
        <v>78</v>
      </c>
      <c r="B79" s="171" t="s">
        <v>153</v>
      </c>
      <c r="C79" s="171" t="s">
        <v>154</v>
      </c>
      <c r="D79" s="171" t="s">
        <v>543</v>
      </c>
      <c r="E79" s="171">
        <f>Таблица17[[#This Row],[Грунт]]+Таблица17[[#This Row],[Щебень]]+Таблица17[[#This Row],[Асфальт]]+Таблица17[[#This Row],[Бетон]]</f>
        <v>7</v>
      </c>
      <c r="F79" s="172"/>
      <c r="G79" s="173"/>
      <c r="H79" s="174">
        <v>7</v>
      </c>
      <c r="I79" s="175"/>
      <c r="J79" s="176"/>
      <c r="K79" s="10" t="s">
        <v>557</v>
      </c>
      <c r="N79" s="8" t="b">
        <f>OR(Таблица17[[#This Row],[Щебень]]&gt;0,Таблица17[[#This Row],[Асфальт]]&gt;0,Таблица17[[#This Row],[Бетон]]&gt;0)</f>
        <v>1</v>
      </c>
      <c r="U79" s="8">
        <f>Таблица17[[#This Row],[Бетон]]+Таблица17[[#This Row],[Асфальт]]+Таблица17[[#This Row],[Щебень]]</f>
        <v>7</v>
      </c>
      <c r="V79" s="168"/>
    </row>
    <row r="80" spans="1:24" ht="70.5" hidden="1" x14ac:dyDescent="0.35">
      <c r="A80" s="171">
        <v>79</v>
      </c>
      <c r="B80" s="171" t="s">
        <v>155</v>
      </c>
      <c r="C80" s="171" t="s">
        <v>156</v>
      </c>
      <c r="D80" s="171" t="s">
        <v>543</v>
      </c>
      <c r="E80" s="171">
        <f>Таблица17[[#This Row],[Грунт]]+Таблица17[[#This Row],[Щебень]]+Таблица17[[#This Row],[Асфальт]]+Таблица17[[#This Row],[Бетон]]</f>
        <v>2</v>
      </c>
      <c r="F80" s="172">
        <v>2</v>
      </c>
      <c r="G80" s="173"/>
      <c r="H80" s="174"/>
      <c r="I80" s="175"/>
      <c r="J80" s="176"/>
      <c r="N80" s="8" t="b">
        <f>OR(Таблица17[[#This Row],[Щебень]]&gt;0,Таблица17[[#This Row],[Асфальт]]&gt;0,Таблица17[[#This Row],[Бетон]]&gt;0)</f>
        <v>0</v>
      </c>
      <c r="U80" s="8">
        <f>Таблица17[[#This Row],[Бетон]]+Таблица17[[#This Row],[Асфальт]]+Таблица17[[#This Row],[Щебень]]</f>
        <v>0</v>
      </c>
      <c r="V80" s="168"/>
    </row>
    <row r="81" spans="1:23" ht="70.5" hidden="1" x14ac:dyDescent="0.35">
      <c r="A81" s="171">
        <v>80</v>
      </c>
      <c r="B81" s="171" t="s">
        <v>157</v>
      </c>
      <c r="C81" s="171" t="s">
        <v>158</v>
      </c>
      <c r="D81" s="171" t="s">
        <v>543</v>
      </c>
      <c r="E81" s="171">
        <f>Таблица17[[#This Row],[Грунт]]+Таблица17[[#This Row],[Щебень]]+Таблица17[[#This Row],[Асфальт]]+Таблица17[[#This Row],[Бетон]]</f>
        <v>1.5</v>
      </c>
      <c r="F81" s="172">
        <v>1.5</v>
      </c>
      <c r="G81" s="173"/>
      <c r="H81" s="174"/>
      <c r="I81" s="175"/>
      <c r="J81" s="176"/>
      <c r="N81" s="8" t="b">
        <f>OR(Таблица17[[#This Row],[Щебень]]&gt;0,Таблица17[[#This Row],[Асфальт]]&gt;0,Таблица17[[#This Row],[Бетон]]&gt;0)</f>
        <v>0</v>
      </c>
      <c r="U81" s="8">
        <f>Таблица17[[#This Row],[Бетон]]+Таблица17[[#This Row],[Асфальт]]+Таблица17[[#This Row],[Щебень]]</f>
        <v>0</v>
      </c>
      <c r="V81" s="168"/>
    </row>
    <row r="82" spans="1:23" ht="36" hidden="1" x14ac:dyDescent="0.35">
      <c r="A82" s="171">
        <v>81</v>
      </c>
      <c r="B82" s="171" t="s">
        <v>159</v>
      </c>
      <c r="C82" s="171" t="s">
        <v>160</v>
      </c>
      <c r="D82" s="171" t="s">
        <v>543</v>
      </c>
      <c r="E82" s="171">
        <f>Таблица17[[#This Row],[Грунт]]+Таблица17[[#This Row],[Щебень]]+Таблица17[[#This Row],[Асфальт]]+Таблица17[[#This Row],[Бетон]]</f>
        <v>3</v>
      </c>
      <c r="F82" s="172">
        <v>3</v>
      </c>
      <c r="G82" s="173"/>
      <c r="H82" s="174"/>
      <c r="I82" s="175"/>
      <c r="J82" s="176"/>
      <c r="N82" s="8" t="b">
        <f>OR(Таблица17[[#This Row],[Щебень]]&gt;0,Таблица17[[#This Row],[Асфальт]]&gt;0,Таблица17[[#This Row],[Бетон]]&gt;0)</f>
        <v>0</v>
      </c>
      <c r="U82" s="8">
        <f>Таблица17[[#This Row],[Бетон]]+Таблица17[[#This Row],[Асфальт]]+Таблица17[[#This Row],[Щебень]]</f>
        <v>0</v>
      </c>
      <c r="V82" s="168"/>
    </row>
    <row r="83" spans="1:23" ht="36" hidden="1" x14ac:dyDescent="0.35">
      <c r="A83" s="171">
        <v>82</v>
      </c>
      <c r="B83" s="171" t="s">
        <v>161</v>
      </c>
      <c r="C83" s="171" t="s">
        <v>162</v>
      </c>
      <c r="D83" s="171" t="s">
        <v>543</v>
      </c>
      <c r="E83" s="171">
        <f>Таблица17[[#This Row],[Грунт]]+Таблица17[[#This Row],[Щебень]]+Таблица17[[#This Row],[Асфальт]]+Таблица17[[#This Row],[Бетон]]</f>
        <v>2</v>
      </c>
      <c r="F83" s="172">
        <v>2</v>
      </c>
      <c r="G83" s="173"/>
      <c r="H83" s="174"/>
      <c r="I83" s="175"/>
      <c r="J83" s="176"/>
      <c r="N83" s="8" t="b">
        <f>OR(Таблица17[[#This Row],[Щебень]]&gt;0,Таблица17[[#This Row],[Асфальт]]&gt;0,Таблица17[[#This Row],[Бетон]]&gt;0)</f>
        <v>0</v>
      </c>
      <c r="U83" s="8">
        <f>Таблица17[[#This Row],[Бетон]]+Таблица17[[#This Row],[Асфальт]]+Таблица17[[#This Row],[Щебень]]</f>
        <v>0</v>
      </c>
      <c r="V83" s="168"/>
    </row>
    <row r="84" spans="1:23" ht="36" hidden="1" x14ac:dyDescent="0.35">
      <c r="A84" s="171">
        <v>83</v>
      </c>
      <c r="B84" s="171" t="s">
        <v>163</v>
      </c>
      <c r="C84" s="171" t="s">
        <v>164</v>
      </c>
      <c r="D84" s="171" t="s">
        <v>571</v>
      </c>
      <c r="E84" s="171">
        <f>Таблица17[[#This Row],[Грунт]]+Таблица17[[#This Row],[Щебень]]+Таблица17[[#This Row],[Асфальт]]+Таблица17[[#This Row],[Бетон]]</f>
        <v>5</v>
      </c>
      <c r="F84" s="172"/>
      <c r="G84" s="173">
        <v>5</v>
      </c>
      <c r="H84" s="174"/>
      <c r="I84" s="175"/>
      <c r="J84" s="176"/>
      <c r="K84" s="10" t="s">
        <v>557</v>
      </c>
      <c r="N84" s="8" t="b">
        <f>OR(Таблица17[[#This Row],[Щебень]]&gt;0,Таблица17[[#This Row],[Асфальт]]&gt;0,Таблица17[[#This Row],[Бетон]]&gt;0)</f>
        <v>1</v>
      </c>
      <c r="U84" s="8">
        <f>Таблица17[[#This Row],[Бетон]]+Таблица17[[#This Row],[Асфальт]]+Таблица17[[#This Row],[Щебень]]</f>
        <v>5</v>
      </c>
      <c r="V84" s="168"/>
    </row>
    <row r="85" spans="1:23" ht="70.5" hidden="1" x14ac:dyDescent="0.35">
      <c r="A85" s="171">
        <v>84</v>
      </c>
      <c r="B85" s="171" t="s">
        <v>165</v>
      </c>
      <c r="C85" s="171" t="s">
        <v>166</v>
      </c>
      <c r="D85" s="171" t="s">
        <v>571</v>
      </c>
      <c r="E85" s="171">
        <f>Таблица17[[#This Row],[Грунт]]+Таблица17[[#This Row],[Щебень]]+Таблица17[[#This Row],[Асфальт]]+Таблица17[[#This Row],[Бетон]]</f>
        <v>2</v>
      </c>
      <c r="F85" s="172"/>
      <c r="G85" s="173">
        <v>2</v>
      </c>
      <c r="H85" s="174"/>
      <c r="I85" s="175"/>
      <c r="J85" s="176"/>
      <c r="K85" s="10" t="s">
        <v>557</v>
      </c>
      <c r="N85" s="8" t="b">
        <f>OR(Таблица17[[#This Row],[Щебень]]&gt;0,Таблица17[[#This Row],[Асфальт]]&gt;0,Таблица17[[#This Row],[Бетон]]&gt;0)</f>
        <v>1</v>
      </c>
      <c r="U85" s="8">
        <f>Таблица17[[#This Row],[Бетон]]+Таблица17[[#This Row],[Асфальт]]+Таблица17[[#This Row],[Щебень]]</f>
        <v>2</v>
      </c>
      <c r="V85" s="168"/>
    </row>
    <row r="86" spans="1:23" ht="36" hidden="1" x14ac:dyDescent="0.35">
      <c r="A86" s="171">
        <v>85</v>
      </c>
      <c r="B86" s="171" t="s">
        <v>167</v>
      </c>
      <c r="C86" s="171" t="s">
        <v>168</v>
      </c>
      <c r="D86" s="171" t="s">
        <v>571</v>
      </c>
      <c r="E86" s="171">
        <f>Таблица17[[#This Row],[Грунт]]+Таблица17[[#This Row],[Щебень]]+Таблица17[[#This Row],[Асфальт]]+Таблица17[[#This Row],[Бетон]]</f>
        <v>0.5</v>
      </c>
      <c r="F86" s="172">
        <v>0.5</v>
      </c>
      <c r="G86" s="173"/>
      <c r="H86" s="174"/>
      <c r="I86" s="175"/>
      <c r="J86" s="176"/>
      <c r="N86" s="8" t="b">
        <f>OR(Таблица17[[#This Row],[Щебень]]&gt;0,Таблица17[[#This Row],[Асфальт]]&gt;0,Таблица17[[#This Row],[Бетон]]&gt;0)</f>
        <v>0</v>
      </c>
      <c r="U86" s="8">
        <f>Таблица17[[#This Row],[Бетон]]+Таблица17[[#This Row],[Асфальт]]+Таблица17[[#This Row],[Щебень]]</f>
        <v>0</v>
      </c>
      <c r="V86" s="168"/>
    </row>
    <row r="87" spans="1:23" ht="36" hidden="1" x14ac:dyDescent="0.35">
      <c r="A87" s="171">
        <v>86</v>
      </c>
      <c r="B87" s="171" t="s">
        <v>169</v>
      </c>
      <c r="C87" s="171" t="s">
        <v>170</v>
      </c>
      <c r="D87" s="171" t="s">
        <v>571</v>
      </c>
      <c r="E87" s="171">
        <f>Таблица17[[#This Row],[Грунт]]+Таблица17[[#This Row],[Щебень]]+Таблица17[[#This Row],[Асфальт]]+Таблица17[[#This Row],[Бетон]]</f>
        <v>1</v>
      </c>
      <c r="F87" s="172">
        <v>1</v>
      </c>
      <c r="G87" s="173"/>
      <c r="H87" s="174"/>
      <c r="I87" s="175"/>
      <c r="J87" s="176"/>
      <c r="N87" s="8" t="b">
        <f>OR(Таблица17[[#This Row],[Щебень]]&gt;0,Таблица17[[#This Row],[Асфальт]]&gt;0,Таблица17[[#This Row],[Бетон]]&gt;0)</f>
        <v>0</v>
      </c>
      <c r="O87" s="8" t="s">
        <v>569</v>
      </c>
      <c r="U87" s="8">
        <f>Таблица17[[#This Row],[Бетон]]+Таблица17[[#This Row],[Асфальт]]+Таблица17[[#This Row],[Щебень]]</f>
        <v>0</v>
      </c>
      <c r="V87" s="168"/>
    </row>
    <row r="88" spans="1:23" ht="36" hidden="1" x14ac:dyDescent="0.35">
      <c r="A88" s="171">
        <v>87</v>
      </c>
      <c r="B88" s="171" t="s">
        <v>171</v>
      </c>
      <c r="C88" s="171" t="s">
        <v>172</v>
      </c>
      <c r="D88" s="171" t="s">
        <v>571</v>
      </c>
      <c r="E88" s="171">
        <f>Таблица17[[#This Row],[Грунт]]+Таблица17[[#This Row],[Щебень]]+Таблица17[[#This Row],[Асфальт]]+Таблица17[[#This Row],[Бетон]]</f>
        <v>2</v>
      </c>
      <c r="F88" s="172">
        <v>2</v>
      </c>
      <c r="G88" s="173"/>
      <c r="H88" s="174"/>
      <c r="I88" s="175"/>
      <c r="J88" s="176"/>
      <c r="N88" s="8" t="b">
        <f>OR(Таблица17[[#This Row],[Щебень]]&gt;0,Таблица17[[#This Row],[Асфальт]]&gt;0,Таблица17[[#This Row],[Бетон]]&gt;0)</f>
        <v>0</v>
      </c>
      <c r="U88" s="8">
        <f>Таблица17[[#This Row],[Бетон]]+Таблица17[[#This Row],[Асфальт]]+Таблица17[[#This Row],[Щебень]]</f>
        <v>0</v>
      </c>
      <c r="V88" s="168"/>
    </row>
    <row r="89" spans="1:23" s="111" customFormat="1" ht="70.5" hidden="1" x14ac:dyDescent="0.35">
      <c r="A89" s="178">
        <v>88</v>
      </c>
      <c r="B89" s="178" t="s">
        <v>173</v>
      </c>
      <c r="C89" s="178" t="s">
        <v>174</v>
      </c>
      <c r="D89" s="178" t="s">
        <v>571</v>
      </c>
      <c r="E89" s="171">
        <f>Таблица17[[#This Row],[Грунт]]+Таблица17[[#This Row],[Щебень]]+Таблица17[[#This Row],[Асфальт]]+Таблица17[[#This Row],[Бетон]]</f>
        <v>2</v>
      </c>
      <c r="F89" s="179">
        <v>2</v>
      </c>
      <c r="G89" s="179"/>
      <c r="H89" s="179"/>
      <c r="I89" s="179"/>
      <c r="J89" s="176"/>
      <c r="K89" s="111" t="s">
        <v>558</v>
      </c>
      <c r="N89" s="111" t="b">
        <f>OR(Таблица17[[#This Row],[Щебень]]&gt;0,Таблица17[[#This Row],[Асфальт]]&gt;0,Таблица17[[#This Row],[Бетон]]&gt;0)</f>
        <v>0</v>
      </c>
      <c r="O89" s="8"/>
      <c r="P89" s="8"/>
      <c r="Q89" s="8"/>
      <c r="R89" s="8"/>
      <c r="S89" s="8"/>
      <c r="T89" s="8"/>
      <c r="U89" s="8">
        <f>Таблица17[[#This Row],[Бетон]]+Таблица17[[#This Row],[Асфальт]]+Таблица17[[#This Row],[Щебень]]</f>
        <v>0</v>
      </c>
      <c r="V89" s="168"/>
    </row>
    <row r="90" spans="1:23" ht="70.5" hidden="1" x14ac:dyDescent="0.35">
      <c r="A90" s="171">
        <v>89</v>
      </c>
      <c r="B90" s="171" t="s">
        <v>175</v>
      </c>
      <c r="C90" s="171" t="s">
        <v>176</v>
      </c>
      <c r="D90" s="171" t="s">
        <v>571</v>
      </c>
      <c r="E90" s="171">
        <f>Таблица17[[#This Row],[Грунт]]+Таблица17[[#This Row],[Щебень]]+Таблица17[[#This Row],[Асфальт]]+Таблица17[[#This Row],[Бетон]]</f>
        <v>1</v>
      </c>
      <c r="F90" s="172">
        <v>1</v>
      </c>
      <c r="G90" s="173"/>
      <c r="H90" s="174"/>
      <c r="I90" s="175"/>
      <c r="J90" s="176"/>
      <c r="N90" s="8" t="b">
        <f>OR(Таблица17[[#This Row],[Щебень]]&gt;0,Таблица17[[#This Row],[Асфальт]]&gt;0,Таблица17[[#This Row],[Бетон]]&gt;0)</f>
        <v>0</v>
      </c>
      <c r="U90" s="8">
        <f>Таблица17[[#This Row],[Бетон]]+Таблица17[[#This Row],[Асфальт]]+Таблица17[[#This Row],[Щебень]]</f>
        <v>0</v>
      </c>
      <c r="V90" s="168"/>
    </row>
    <row r="91" spans="1:23" ht="36" hidden="1" x14ac:dyDescent="0.35">
      <c r="A91" s="171">
        <v>90</v>
      </c>
      <c r="B91" s="171" t="s">
        <v>177</v>
      </c>
      <c r="C91" s="171" t="s">
        <v>178</v>
      </c>
      <c r="D91" s="171" t="s">
        <v>571</v>
      </c>
      <c r="E91" s="171">
        <f>Таблица17[[#This Row],[Грунт]]+Таблица17[[#This Row],[Щебень]]+Таблица17[[#This Row],[Асфальт]]+Таблица17[[#This Row],[Бетон]]</f>
        <v>4</v>
      </c>
      <c r="F91" s="172"/>
      <c r="G91" s="173"/>
      <c r="H91" s="174"/>
      <c r="I91" s="175">
        <v>4</v>
      </c>
      <c r="J91" s="176"/>
      <c r="N91" s="8" t="b">
        <f>OR(Таблица17[[#This Row],[Щебень]]&gt;0,Таблица17[[#This Row],[Асфальт]]&gt;0,Таблица17[[#This Row],[Бетон]]&gt;0)</f>
        <v>1</v>
      </c>
      <c r="O91" s="8">
        <v>1</v>
      </c>
      <c r="U91" s="8">
        <f>Таблица17[[#This Row],[Бетон]]+Таблица17[[#This Row],[Асфальт]]+Таблица17[[#This Row],[Щебень]]</f>
        <v>4</v>
      </c>
      <c r="V91" s="168"/>
      <c r="W91" s="8">
        <v>4</v>
      </c>
    </row>
    <row r="92" spans="1:23" ht="36" hidden="1" x14ac:dyDescent="0.35">
      <c r="A92" s="171">
        <v>91</v>
      </c>
      <c r="B92" s="171" t="s">
        <v>179</v>
      </c>
      <c r="C92" s="171" t="s">
        <v>180</v>
      </c>
      <c r="D92" s="171" t="s">
        <v>571</v>
      </c>
      <c r="E92" s="171">
        <f>Таблица17[[#This Row],[Грунт]]+Таблица17[[#This Row],[Щебень]]+Таблица17[[#This Row],[Асфальт]]+Таблица17[[#This Row],[Бетон]]</f>
        <v>2</v>
      </c>
      <c r="F92" s="172">
        <v>2</v>
      </c>
      <c r="G92" s="173"/>
      <c r="H92" s="174"/>
      <c r="I92" s="175"/>
      <c r="J92" s="176"/>
      <c r="N92" s="8" t="b">
        <f>OR(Таблица17[[#This Row],[Щебень]]&gt;0,Таблица17[[#This Row],[Асфальт]]&gt;0,Таблица17[[#This Row],[Бетон]]&gt;0)</f>
        <v>0</v>
      </c>
      <c r="U92" s="8">
        <f>Таблица17[[#This Row],[Бетон]]+Таблица17[[#This Row],[Асфальт]]+Таблица17[[#This Row],[Щебень]]</f>
        <v>0</v>
      </c>
      <c r="V92" s="168"/>
    </row>
    <row r="93" spans="1:23" ht="36" hidden="1" x14ac:dyDescent="0.35">
      <c r="A93" s="171">
        <v>92</v>
      </c>
      <c r="B93" s="171" t="s">
        <v>181</v>
      </c>
      <c r="C93" s="171" t="s">
        <v>182</v>
      </c>
      <c r="D93" s="171" t="s">
        <v>571</v>
      </c>
      <c r="E93" s="171">
        <f>Таблица17[[#This Row],[Грунт]]+Таблица17[[#This Row],[Щебень]]+Таблица17[[#This Row],[Асфальт]]+Таблица17[[#This Row],[Бетон]]</f>
        <v>2.5</v>
      </c>
      <c r="F93" s="172">
        <v>2.5</v>
      </c>
      <c r="G93" s="173"/>
      <c r="H93" s="174"/>
      <c r="I93" s="175"/>
      <c r="J93" s="176"/>
      <c r="N93" s="8" t="b">
        <f>OR(Таблица17[[#This Row],[Щебень]]&gt;0,Таблица17[[#This Row],[Асфальт]]&gt;0,Таблица17[[#This Row],[Бетон]]&gt;0)</f>
        <v>0</v>
      </c>
      <c r="U93" s="8">
        <f>Таблица17[[#This Row],[Бетон]]+Таблица17[[#This Row],[Асфальт]]+Таблица17[[#This Row],[Щебень]]</f>
        <v>0</v>
      </c>
      <c r="V93" s="168"/>
    </row>
    <row r="94" spans="1:23" ht="36" hidden="1" x14ac:dyDescent="0.35">
      <c r="A94" s="171">
        <v>93</v>
      </c>
      <c r="B94" s="171" t="s">
        <v>183</v>
      </c>
      <c r="C94" s="171" t="s">
        <v>184</v>
      </c>
      <c r="D94" s="171" t="s">
        <v>571</v>
      </c>
      <c r="E94" s="171">
        <f>Таблица17[[#This Row],[Грунт]]+Таблица17[[#This Row],[Щебень]]+Таблица17[[#This Row],[Асфальт]]+Таблица17[[#This Row],[Бетон]]</f>
        <v>3</v>
      </c>
      <c r="F94" s="172">
        <v>3</v>
      </c>
      <c r="G94" s="173"/>
      <c r="H94" s="174"/>
      <c r="I94" s="175"/>
      <c r="J94" s="176"/>
      <c r="N94" s="8" t="b">
        <f>OR(Таблица17[[#This Row],[Щебень]]&gt;0,Таблица17[[#This Row],[Асфальт]]&gt;0,Таблица17[[#This Row],[Бетон]]&gt;0)</f>
        <v>0</v>
      </c>
      <c r="U94" s="8">
        <f>Таблица17[[#This Row],[Бетон]]+Таблица17[[#This Row],[Асфальт]]+Таблица17[[#This Row],[Щебень]]</f>
        <v>0</v>
      </c>
      <c r="V94" s="168"/>
    </row>
    <row r="95" spans="1:23" ht="36" hidden="1" x14ac:dyDescent="0.35">
      <c r="A95" s="171">
        <v>94</v>
      </c>
      <c r="B95" s="171" t="s">
        <v>185</v>
      </c>
      <c r="C95" s="171" t="s">
        <v>186</v>
      </c>
      <c r="D95" s="171" t="s">
        <v>571</v>
      </c>
      <c r="E95" s="171">
        <f>Таблица17[[#This Row],[Грунт]]+Таблица17[[#This Row],[Щебень]]+Таблица17[[#This Row],[Асфальт]]+Таблица17[[#This Row],[Бетон]]</f>
        <v>3</v>
      </c>
      <c r="F95" s="172">
        <v>3</v>
      </c>
      <c r="G95" s="173"/>
      <c r="H95" s="174"/>
      <c r="I95" s="175"/>
      <c r="J95" s="176"/>
      <c r="N95" s="8" t="b">
        <f>OR(Таблица17[[#This Row],[Щебень]]&gt;0,Таблица17[[#This Row],[Асфальт]]&gt;0,Таблица17[[#This Row],[Бетон]]&gt;0)</f>
        <v>0</v>
      </c>
      <c r="U95" s="8">
        <f>Таблица17[[#This Row],[Бетон]]+Таблица17[[#This Row],[Асфальт]]+Таблица17[[#This Row],[Щебень]]</f>
        <v>0</v>
      </c>
      <c r="V95" s="168"/>
    </row>
    <row r="96" spans="1:23" ht="36" hidden="1" x14ac:dyDescent="0.35">
      <c r="A96" s="171">
        <v>95</v>
      </c>
      <c r="B96" s="171" t="s">
        <v>187</v>
      </c>
      <c r="C96" s="171" t="s">
        <v>188</v>
      </c>
      <c r="D96" s="171" t="s">
        <v>571</v>
      </c>
      <c r="E96" s="171">
        <f>Таблица17[[#This Row],[Грунт]]+Таблица17[[#This Row],[Щебень]]+Таблица17[[#This Row],[Асфальт]]+Таблица17[[#This Row],[Бетон]]</f>
        <v>2</v>
      </c>
      <c r="F96" s="172">
        <v>2</v>
      </c>
      <c r="G96" s="173"/>
      <c r="H96" s="174"/>
      <c r="I96" s="175"/>
      <c r="J96" s="176"/>
      <c r="N96" s="8" t="b">
        <f>OR(Таблица17[[#This Row],[Щебень]]&gt;0,Таблица17[[#This Row],[Асфальт]]&gt;0,Таблица17[[#This Row],[Бетон]]&gt;0)</f>
        <v>0</v>
      </c>
      <c r="U96" s="8">
        <f>Таблица17[[#This Row],[Бетон]]+Таблица17[[#This Row],[Асфальт]]+Таблица17[[#This Row],[Щебень]]</f>
        <v>0</v>
      </c>
      <c r="V96" s="168"/>
    </row>
    <row r="97" spans="1:28" ht="70.5" hidden="1" x14ac:dyDescent="0.35">
      <c r="A97" s="171">
        <v>96</v>
      </c>
      <c r="B97" s="171" t="s">
        <v>189</v>
      </c>
      <c r="C97" s="171" t="s">
        <v>190</v>
      </c>
      <c r="D97" s="171" t="s">
        <v>548</v>
      </c>
      <c r="E97" s="171">
        <f>Таблица17[[#This Row],[Грунт]]+Таблица17[[#This Row],[Щебень]]+Таблица17[[#This Row],[Асфальт]]+Таблица17[[#This Row],[Бетон]]</f>
        <v>2.5</v>
      </c>
      <c r="F97" s="172">
        <v>1.3</v>
      </c>
      <c r="G97" s="173"/>
      <c r="H97" s="174">
        <v>1.2</v>
      </c>
      <c r="I97" s="175">
        <v>0</v>
      </c>
      <c r="J97" s="176"/>
      <c r="K97" s="10" t="s">
        <v>557</v>
      </c>
      <c r="N97" s="8" t="b">
        <f>OR(Таблица17[[#This Row],[Щебень]]&gt;0,Таблица17[[#This Row],[Асфальт]]&gt;0,Таблица17[[#This Row],[Бетон]]&gt;0)</f>
        <v>1</v>
      </c>
      <c r="O97" s="8">
        <v>1</v>
      </c>
      <c r="U97" s="8">
        <f>Таблица17[[#This Row],[Бетон]]+Таблица17[[#This Row],[Асфальт]]+Таблица17[[#This Row],[Щебень]]</f>
        <v>1.2</v>
      </c>
      <c r="V97" s="168"/>
    </row>
    <row r="98" spans="1:28" ht="70.5" hidden="1" x14ac:dyDescent="0.35">
      <c r="A98" s="171">
        <v>97</v>
      </c>
      <c r="B98" s="171" t="s">
        <v>191</v>
      </c>
      <c r="C98" s="171" t="s">
        <v>192</v>
      </c>
      <c r="D98" s="171" t="s">
        <v>548</v>
      </c>
      <c r="E98" s="171">
        <f>Таблица17[[#This Row],[Грунт]]+Таблица17[[#This Row],[Щебень]]+Таблица17[[#This Row],[Асфальт]]+Таблица17[[#This Row],[Бетон]]</f>
        <v>1.54</v>
      </c>
      <c r="F98" s="172"/>
      <c r="G98" s="173"/>
      <c r="H98" s="174">
        <v>1.54</v>
      </c>
      <c r="I98" s="175"/>
      <c r="J98" s="176"/>
      <c r="K98" s="10" t="s">
        <v>557</v>
      </c>
      <c r="N98" s="8" t="b">
        <f>OR(Таблица17[[#This Row],[Щебень]]&gt;0,Таблица17[[#This Row],[Асфальт]]&gt;0,Таблица17[[#This Row],[Бетон]]&gt;0)</f>
        <v>1</v>
      </c>
      <c r="O98" s="8">
        <v>1</v>
      </c>
      <c r="U98" s="8">
        <f>Таблица17[[#This Row],[Бетон]]+Таблица17[[#This Row],[Асфальт]]+Таблица17[[#This Row],[Щебень]]</f>
        <v>1.54</v>
      </c>
      <c r="V98" s="168"/>
    </row>
    <row r="99" spans="1:28" ht="36" hidden="1" x14ac:dyDescent="0.35">
      <c r="A99" s="171">
        <v>98</v>
      </c>
      <c r="B99" s="171" t="s">
        <v>193</v>
      </c>
      <c r="C99" s="171" t="s">
        <v>194</v>
      </c>
      <c r="D99" s="171" t="s">
        <v>539</v>
      </c>
      <c r="E99" s="171">
        <f>Таблица17[[#This Row],[Грунт]]+Таблица17[[#This Row],[Щебень]]+Таблица17[[#This Row],[Асфальт]]+Таблица17[[#This Row],[Бетон]]</f>
        <v>3.5</v>
      </c>
      <c r="F99" s="172">
        <v>3.5</v>
      </c>
      <c r="G99" s="173"/>
      <c r="H99" s="174"/>
      <c r="I99" s="175"/>
      <c r="J99" s="176"/>
      <c r="N99" s="8" t="b">
        <f>OR(Таблица17[[#This Row],[Щебень]]&gt;0,Таблица17[[#This Row],[Асфальт]]&gt;0,Таблица17[[#This Row],[Бетон]]&gt;0)</f>
        <v>0</v>
      </c>
      <c r="U99" s="8">
        <f>Таблица17[[#This Row],[Бетон]]+Таблица17[[#This Row],[Асфальт]]+Таблица17[[#This Row],[Щебень]]</f>
        <v>0</v>
      </c>
      <c r="V99" s="168"/>
    </row>
    <row r="100" spans="1:28" ht="70.5" hidden="1" x14ac:dyDescent="0.35">
      <c r="A100" s="171">
        <v>99</v>
      </c>
      <c r="B100" s="171" t="s">
        <v>195</v>
      </c>
      <c r="C100" s="171" t="s">
        <v>196</v>
      </c>
      <c r="D100" s="171" t="s">
        <v>548</v>
      </c>
      <c r="E100" s="171">
        <f>Таблица17[[#This Row],[Грунт]]+Таблица17[[#This Row],[Щебень]]+Таблица17[[#This Row],[Асфальт]]+Таблица17[[#This Row],[Бетон]]</f>
        <v>2.2000000000000002</v>
      </c>
      <c r="F100" s="172"/>
      <c r="G100" s="173">
        <v>2.2000000000000002</v>
      </c>
      <c r="H100" s="174"/>
      <c r="I100" s="175"/>
      <c r="J100" s="176"/>
      <c r="K100" s="10" t="s">
        <v>557</v>
      </c>
      <c r="N100" s="8" t="b">
        <f>OR(Таблица17[[#This Row],[Щебень]]&gt;0,Таблица17[[#This Row],[Асфальт]]&gt;0,Таблица17[[#This Row],[Бетон]]&gt;0)</f>
        <v>1</v>
      </c>
      <c r="O100" s="8">
        <v>1</v>
      </c>
      <c r="U100" s="8">
        <f>Таблица17[[#This Row],[Бетон]]+Таблица17[[#This Row],[Асфальт]]+Таблица17[[#This Row],[Щебень]]</f>
        <v>2.2000000000000002</v>
      </c>
      <c r="V100" s="168"/>
    </row>
    <row r="101" spans="1:28" ht="70.5" hidden="1" x14ac:dyDescent="0.35">
      <c r="A101" s="171">
        <v>100</v>
      </c>
      <c r="B101" s="171" t="s">
        <v>197</v>
      </c>
      <c r="C101" s="171" t="s">
        <v>198</v>
      </c>
      <c r="D101" s="171" t="s">
        <v>547</v>
      </c>
      <c r="E101" s="171">
        <f>Таблица17[[#This Row],[Грунт]]+Таблица17[[#This Row],[Щебень]]+Таблица17[[#This Row],[Асфальт]]+Таблица17[[#This Row],[Бетон]]</f>
        <v>1.2</v>
      </c>
      <c r="F101" s="172">
        <v>1.2</v>
      </c>
      <c r="G101" s="173"/>
      <c r="H101" s="174"/>
      <c r="I101" s="175"/>
      <c r="J101" s="176"/>
      <c r="N101" s="8" t="b">
        <f>OR(Таблица17[[#This Row],[Щебень]]&gt;0,Таблица17[[#This Row],[Асфальт]]&gt;0,Таблица17[[#This Row],[Бетон]]&gt;0)</f>
        <v>0</v>
      </c>
      <c r="U101" s="8">
        <f>Таблица17[[#This Row],[Бетон]]+Таблица17[[#This Row],[Асфальт]]+Таблица17[[#This Row],[Щебень]]</f>
        <v>0</v>
      </c>
      <c r="V101" s="168"/>
    </row>
    <row r="102" spans="1:28" ht="36" hidden="1" x14ac:dyDescent="0.35">
      <c r="A102" s="171">
        <v>101</v>
      </c>
      <c r="B102" s="171" t="s">
        <v>199</v>
      </c>
      <c r="C102" s="171" t="s">
        <v>200</v>
      </c>
      <c r="D102" s="171" t="s">
        <v>539</v>
      </c>
      <c r="E102" s="171">
        <f>Таблица17[[#This Row],[Грунт]]+Таблица17[[#This Row],[Щебень]]+Таблица17[[#This Row],[Асфальт]]+Таблица17[[#This Row],[Бетон]]</f>
        <v>1.8</v>
      </c>
      <c r="F102" s="172">
        <v>1.8</v>
      </c>
      <c r="G102" s="173"/>
      <c r="H102" s="174"/>
      <c r="I102" s="175"/>
      <c r="J102" s="176"/>
      <c r="N102" s="8" t="b">
        <f>OR(Таблица17[[#This Row],[Щебень]]&gt;0,Таблица17[[#This Row],[Асфальт]]&gt;0,Таблица17[[#This Row],[Бетон]]&gt;0)</f>
        <v>0</v>
      </c>
      <c r="U102" s="8">
        <f>Таблица17[[#This Row],[Бетон]]+Таблица17[[#This Row],[Асфальт]]+Таблица17[[#This Row],[Щебень]]</f>
        <v>0</v>
      </c>
      <c r="V102" s="168"/>
    </row>
    <row r="103" spans="1:28" ht="36" hidden="1" x14ac:dyDescent="0.35">
      <c r="A103" s="171">
        <v>102</v>
      </c>
      <c r="B103" s="171" t="s">
        <v>201</v>
      </c>
      <c r="C103" s="171" t="s">
        <v>202</v>
      </c>
      <c r="D103" s="171" t="s">
        <v>543</v>
      </c>
      <c r="E103" s="171">
        <f>Таблица17[[#This Row],[Грунт]]+Таблица17[[#This Row],[Щебень]]+Таблица17[[#This Row],[Асфальт]]+Таблица17[[#This Row],[Бетон]]</f>
        <v>1</v>
      </c>
      <c r="F103" s="172"/>
      <c r="G103" s="173">
        <v>1</v>
      </c>
      <c r="H103" s="174"/>
      <c r="I103" s="175"/>
      <c r="J103" s="176"/>
      <c r="N103" s="8" t="b">
        <f>OR(Таблица17[[#This Row],[Щебень]]&gt;0,Таблица17[[#This Row],[Асфальт]]&gt;0,Таблица17[[#This Row],[Бетон]]&gt;0)</f>
        <v>1</v>
      </c>
      <c r="O103" s="8">
        <v>1</v>
      </c>
      <c r="U103" s="8">
        <f>Таблица17[[#This Row],[Бетон]]+Таблица17[[#This Row],[Асфальт]]+Таблица17[[#This Row],[Щебень]]</f>
        <v>1</v>
      </c>
      <c r="V103" s="168"/>
    </row>
    <row r="104" spans="1:28" s="111" customFormat="1" ht="70.5" hidden="1" x14ac:dyDescent="0.35">
      <c r="A104" s="178">
        <v>103</v>
      </c>
      <c r="B104" s="178" t="s">
        <v>203</v>
      </c>
      <c r="C104" s="178" t="s">
        <v>534</v>
      </c>
      <c r="D104" s="178" t="s">
        <v>545</v>
      </c>
      <c r="E104" s="182">
        <f>Таблица17[[#This Row],[Грунт]]+Таблица17[[#This Row],[Щебень]]+Таблица17[[#This Row],[Асфальт]]</f>
        <v>3.2</v>
      </c>
      <c r="F104" s="179"/>
      <c r="G104" s="179"/>
      <c r="H104" s="179">
        <v>3.2</v>
      </c>
      <c r="I104" s="179"/>
      <c r="J104" s="176"/>
      <c r="N104" s="111" t="b">
        <f>OR(Таблица17[[#This Row],[Щебень]]&gt;0,Таблица17[[#This Row],[Асфальт]]&gt;0,Таблица17[[#This Row],[Бетон]]&gt;0)</f>
        <v>1</v>
      </c>
      <c r="O104" s="8">
        <v>1</v>
      </c>
      <c r="P104" s="8"/>
      <c r="Q104" s="8"/>
      <c r="R104" s="8"/>
      <c r="S104" s="8"/>
      <c r="T104" s="8"/>
      <c r="U104" s="8">
        <f>Таблица17[[#This Row],[Бетон]]+Таблица17[[#This Row],[Асфальт]]+Таблица17[[#This Row],[Щебень]]</f>
        <v>3.2</v>
      </c>
      <c r="V104" s="168"/>
    </row>
    <row r="105" spans="1:28" s="122" customFormat="1" ht="70.5" hidden="1" x14ac:dyDescent="0.35">
      <c r="A105" s="171">
        <v>105</v>
      </c>
      <c r="B105" s="171" t="s">
        <v>784</v>
      </c>
      <c r="C105" s="183" t="s">
        <v>783</v>
      </c>
      <c r="D105" s="184" t="s">
        <v>542</v>
      </c>
      <c r="E105" s="171">
        <f>Таблица17[[#This Row],[Грунт]]+Таблица17[[#This Row],[Щебень]]+Таблица17[[#This Row],[Асфальт]]+Таблица17[[#This Row],[Бетон]]</f>
        <v>1.901</v>
      </c>
      <c r="F105" s="172">
        <v>1.901</v>
      </c>
      <c r="G105" s="173"/>
      <c r="H105" s="174"/>
      <c r="I105" s="175"/>
      <c r="J105" s="176"/>
      <c r="K105" s="8"/>
      <c r="L105" s="8"/>
      <c r="M105" s="8"/>
      <c r="N105" s="12" t="b">
        <f>OR(Таблица17[[#This Row],[Щебень]]&gt;0,Таблица17[[#This Row],[Асфальт]]&gt;0,Таблица17[[#This Row],[Бетон]]&gt;0)</f>
        <v>0</v>
      </c>
      <c r="O105" s="8"/>
      <c r="P105" s="8"/>
      <c r="Q105" s="8"/>
      <c r="R105" s="122" t="s">
        <v>796</v>
      </c>
      <c r="S105" s="8"/>
      <c r="T105" s="8"/>
      <c r="U105" s="8">
        <f>Таблица17[[#This Row],[Бетон]]+Таблица17[[#This Row],[Асфальт]]+Таблица17[[#This Row],[Щебень]]</f>
        <v>0</v>
      </c>
      <c r="V105" s="197"/>
    </row>
    <row r="106" spans="1:28" s="128" customFormat="1" ht="70.5" hidden="1" x14ac:dyDescent="0.35">
      <c r="A106" s="171">
        <v>106</v>
      </c>
      <c r="B106" s="184" t="s">
        <v>788</v>
      </c>
      <c r="C106" s="184" t="s">
        <v>789</v>
      </c>
      <c r="D106" s="171" t="s">
        <v>548</v>
      </c>
      <c r="E106" s="185">
        <v>0.43</v>
      </c>
      <c r="F106" s="186"/>
      <c r="G106" s="187"/>
      <c r="H106" s="188">
        <v>0.43</v>
      </c>
      <c r="I106" s="189"/>
      <c r="J106" s="190"/>
      <c r="N106" s="129" t="b">
        <f>OR(Таблица17[[#This Row],[Щебень]]&gt;0,Таблица17[[#This Row],[Асфальт]]&gt;0,Таблица17[[#This Row],[Бетон]]&gt;0)</f>
        <v>1</v>
      </c>
      <c r="Q106" s="8"/>
      <c r="R106" s="8">
        <f>SUM(E107:E269)</f>
        <v>238.79299999999986</v>
      </c>
      <c r="S106" s="8"/>
      <c r="T106" s="8"/>
      <c r="U106" s="8">
        <f>Таблица17[[#This Row],[Бетон]]+Таблица17[[#This Row],[Асфальт]]+Таблица17[[#This Row],[Щебень]]</f>
        <v>0.43</v>
      </c>
      <c r="V106" s="198"/>
      <c r="AB106" s="128">
        <v>0.43</v>
      </c>
    </row>
    <row r="107" spans="1:28" ht="70.5" x14ac:dyDescent="0.35">
      <c r="A107" s="171">
        <v>106</v>
      </c>
      <c r="B107" s="171" t="s">
        <v>205</v>
      </c>
      <c r="C107" s="171" t="s">
        <v>206</v>
      </c>
      <c r="D107" s="171" t="s">
        <v>538</v>
      </c>
      <c r="E107" s="171">
        <f>Таблица17[[#This Row],[Грунт]]+Таблица17[[#This Row],[Щебень]]+Таблица17[[#This Row],[Асфальт]]+Таблица17[[#This Row],[Бетон]]</f>
        <v>4</v>
      </c>
      <c r="F107" s="172"/>
      <c r="G107" s="173"/>
      <c r="H107" s="174">
        <v>4</v>
      </c>
      <c r="I107" s="175"/>
      <c r="J107" s="176" t="s">
        <v>804</v>
      </c>
      <c r="K107" s="8" t="s">
        <v>558</v>
      </c>
      <c r="L107" s="8">
        <v>1.45</v>
      </c>
      <c r="N107" s="8" t="b">
        <f>OR(Таблица17[[#This Row],[Щебень]]&gt;0,Таблица17[[#This Row],[Асфальт]]&gt;0,Таблица17[[#This Row],[Бетон]]&gt;0)</f>
        <v>1</v>
      </c>
      <c r="O107" s="8">
        <v>1</v>
      </c>
      <c r="U107" s="8">
        <f>Таблица17[[#This Row],[Бетон]]+Таблица17[[#This Row],[Асфальт]]+Таблица17[[#This Row],[Щебень]]-1.45</f>
        <v>2.5499999999999998</v>
      </c>
      <c r="V107" s="168"/>
      <c r="X107" s="8">
        <v>2.5499999999999998</v>
      </c>
    </row>
    <row r="108" spans="1:28" ht="70.5" hidden="1" x14ac:dyDescent="0.35">
      <c r="A108" s="171">
        <v>107</v>
      </c>
      <c r="B108" s="171" t="s">
        <v>207</v>
      </c>
      <c r="C108" s="171" t="s">
        <v>208</v>
      </c>
      <c r="D108" s="171" t="s">
        <v>538</v>
      </c>
      <c r="E108" s="171">
        <f>Таблица17[[#This Row],[Грунт]]+Таблица17[[#This Row],[Щебень]]+Таблица17[[#This Row],[Асфальт]]+Таблица17[[#This Row],[Бетон]]</f>
        <v>4</v>
      </c>
      <c r="F108" s="172">
        <v>4</v>
      </c>
      <c r="G108" s="173"/>
      <c r="H108" s="174"/>
      <c r="I108" s="175"/>
      <c r="J108" s="176"/>
      <c r="N108" s="8" t="b">
        <f>OR(Таблица17[[#This Row],[Щебень]]&gt;0,Таблица17[[#This Row],[Асфальт]]&gt;0,Таблица17[[#This Row],[Бетон]]&gt;0)</f>
        <v>0</v>
      </c>
      <c r="U108" s="8">
        <f>Таблица17[[#This Row],[Бетон]]+Таблица17[[#This Row],[Асфальт]]+Таблица17[[#This Row],[Щебень]]</f>
        <v>0</v>
      </c>
      <c r="V108" s="168"/>
    </row>
    <row r="109" spans="1:28" ht="70.5" hidden="1" x14ac:dyDescent="0.35">
      <c r="A109" s="171">
        <v>108</v>
      </c>
      <c r="B109" s="171" t="s">
        <v>209</v>
      </c>
      <c r="C109" s="171" t="s">
        <v>210</v>
      </c>
      <c r="D109" s="171" t="s">
        <v>538</v>
      </c>
      <c r="E109" s="171">
        <f>Таблица17[[#This Row],[Грунт]]+Таблица17[[#This Row],[Щебень]]+Таблица17[[#This Row],[Асфальт]]+Таблица17[[#This Row],[Бетон]]</f>
        <v>3.7</v>
      </c>
      <c r="F109" s="172">
        <v>3.7</v>
      </c>
      <c r="G109" s="173"/>
      <c r="H109" s="174"/>
      <c r="I109" s="175"/>
      <c r="J109" s="176"/>
      <c r="N109" s="8" t="b">
        <f>OR(Таблица17[[#This Row],[Щебень]]&gt;0,Таблица17[[#This Row],[Асфальт]]&gt;0,Таблица17[[#This Row],[Бетон]]&gt;0)</f>
        <v>0</v>
      </c>
      <c r="U109" s="8">
        <f>Таблица17[[#This Row],[Бетон]]+Таблица17[[#This Row],[Асфальт]]+Таблица17[[#This Row],[Щебень]]</f>
        <v>0</v>
      </c>
      <c r="V109" s="168"/>
    </row>
    <row r="110" spans="1:28" ht="70.5" hidden="1" x14ac:dyDescent="0.35">
      <c r="A110" s="171">
        <v>109</v>
      </c>
      <c r="B110" s="171" t="s">
        <v>211</v>
      </c>
      <c r="C110" s="171" t="s">
        <v>212</v>
      </c>
      <c r="D110" s="171" t="s">
        <v>538</v>
      </c>
      <c r="E110" s="171">
        <f>Таблица17[[#This Row],[Грунт]]+Таблица17[[#This Row],[Щебень]]+Таблица17[[#This Row],[Асфальт]]+Таблица17[[#This Row],[Бетон]]</f>
        <v>2.5</v>
      </c>
      <c r="F110" s="172">
        <v>1</v>
      </c>
      <c r="G110" s="173"/>
      <c r="H110" s="174">
        <v>1.5</v>
      </c>
      <c r="I110" s="175"/>
      <c r="J110" s="176"/>
      <c r="N110" s="8" t="b">
        <f>OR(Таблица17[[#This Row],[Щебень]]&gt;0,Таблица17[[#This Row],[Асфальт]]&gt;0,Таблица17[[#This Row],[Бетон]]&gt;0)</f>
        <v>1</v>
      </c>
      <c r="O110" s="8">
        <v>1</v>
      </c>
      <c r="U110" s="8">
        <f>Таблица17[[#This Row],[Бетон]]+Таблица17[[#This Row],[Асфальт]]+Таблица17[[#This Row],[Щебень]]</f>
        <v>1.5</v>
      </c>
      <c r="V110" s="168"/>
    </row>
    <row r="111" spans="1:28" ht="70.5" hidden="1" x14ac:dyDescent="0.35">
      <c r="A111" s="171">
        <v>110</v>
      </c>
      <c r="B111" s="171" t="s">
        <v>213</v>
      </c>
      <c r="C111" s="171" t="s">
        <v>214</v>
      </c>
      <c r="D111" s="171" t="s">
        <v>538</v>
      </c>
      <c r="E111" s="171">
        <f>Таблица17[[#This Row],[Грунт]]+Таблица17[[#This Row],[Щебень]]+Таблица17[[#This Row],[Асфальт]]+Таблица17[[#This Row],[Бетон]]</f>
        <v>1.3</v>
      </c>
      <c r="F111" s="172">
        <v>1.3</v>
      </c>
      <c r="G111" s="173"/>
      <c r="H111" s="174"/>
      <c r="I111" s="175"/>
      <c r="J111" s="176"/>
      <c r="N111" s="8" t="b">
        <f>OR(Таблица17[[#This Row],[Щебень]]&gt;0,Таблица17[[#This Row],[Асфальт]]&gt;0,Таблица17[[#This Row],[Бетон]]&gt;0)</f>
        <v>0</v>
      </c>
      <c r="U111" s="8">
        <f>Таблица17[[#This Row],[Бетон]]+Таблица17[[#This Row],[Асфальт]]+Таблица17[[#This Row],[Щебень]]</f>
        <v>0</v>
      </c>
      <c r="V111" s="168"/>
    </row>
    <row r="112" spans="1:28" ht="70.5" hidden="1" x14ac:dyDescent="0.35">
      <c r="A112" s="171">
        <v>111</v>
      </c>
      <c r="B112" s="171" t="s">
        <v>215</v>
      </c>
      <c r="C112" s="171" t="s">
        <v>216</v>
      </c>
      <c r="D112" s="171" t="s">
        <v>538</v>
      </c>
      <c r="E112" s="171">
        <f>Таблица17[[#This Row],[Грунт]]+Таблица17[[#This Row],[Щебень]]+Таблица17[[#This Row],[Асфальт]]+Таблица17[[#This Row],[Бетон]]</f>
        <v>3.5</v>
      </c>
      <c r="F112" s="172">
        <v>2.8</v>
      </c>
      <c r="G112" s="173"/>
      <c r="H112" s="174">
        <v>0.7</v>
      </c>
      <c r="I112" s="175"/>
      <c r="J112" s="176"/>
      <c r="N112" s="8" t="b">
        <f>OR(Таблица17[[#This Row],[Щебень]]&gt;0,Таблица17[[#This Row],[Асфальт]]&gt;0,Таблица17[[#This Row],[Бетон]]&gt;0)</f>
        <v>1</v>
      </c>
      <c r="O112" s="8">
        <v>1</v>
      </c>
      <c r="U112" s="8">
        <f>Таблица17[[#This Row],[Бетон]]+Таблица17[[#This Row],[Асфальт]]+Таблица17[[#This Row],[Щебень]]</f>
        <v>0.7</v>
      </c>
      <c r="V112" s="168"/>
      <c r="Y112" s="8">
        <v>0.7</v>
      </c>
    </row>
    <row r="113" spans="1:23" ht="36" hidden="1" x14ac:dyDescent="0.35">
      <c r="A113" s="171">
        <v>112</v>
      </c>
      <c r="B113" s="171" t="s">
        <v>217</v>
      </c>
      <c r="C113" s="171" t="s">
        <v>218</v>
      </c>
      <c r="D113" s="171" t="s">
        <v>538</v>
      </c>
      <c r="E113" s="171">
        <f>Таблица17[[#This Row],[Грунт]]+Таблица17[[#This Row],[Щебень]]+Таблица17[[#This Row],[Асфальт]]+Таблица17[[#This Row],[Бетон]]</f>
        <v>1.8</v>
      </c>
      <c r="F113" s="172">
        <v>1.8</v>
      </c>
      <c r="G113" s="173"/>
      <c r="H113" s="174"/>
      <c r="I113" s="175"/>
      <c r="J113" s="176"/>
      <c r="K113" s="8" t="s">
        <v>558</v>
      </c>
      <c r="N113" s="8" t="b">
        <f>OR(Таблица17[[#This Row],[Щебень]]&gt;0,Таблица17[[#This Row],[Асфальт]]&gt;0,Таблица17[[#This Row],[Бетон]]&gt;0)</f>
        <v>0</v>
      </c>
      <c r="U113" s="8">
        <f>Таблица17[[#This Row],[Бетон]]+Таблица17[[#This Row],[Асфальт]]+Таблица17[[#This Row],[Щебень]]</f>
        <v>0</v>
      </c>
      <c r="V113" s="168"/>
    </row>
    <row r="114" spans="1:23" ht="36" hidden="1" x14ac:dyDescent="0.35">
      <c r="A114" s="171">
        <v>113</v>
      </c>
      <c r="B114" s="171" t="s">
        <v>219</v>
      </c>
      <c r="C114" s="171" t="s">
        <v>220</v>
      </c>
      <c r="D114" s="171" t="s">
        <v>538</v>
      </c>
      <c r="E114" s="171">
        <f>Таблица17[[#This Row],[Грунт]]+Таблица17[[#This Row],[Щебень]]+Таблица17[[#This Row],[Асфальт]]+Таблица17[[#This Row],[Бетон]]</f>
        <v>0.7</v>
      </c>
      <c r="F114" s="172">
        <v>0.7</v>
      </c>
      <c r="G114" s="173"/>
      <c r="H114" s="174"/>
      <c r="I114" s="175"/>
      <c r="J114" s="176"/>
      <c r="N114" s="8" t="b">
        <f>OR(Таблица17[[#This Row],[Щебень]]&gt;0,Таблица17[[#This Row],[Асфальт]]&gt;0,Таблица17[[#This Row],[Бетон]]&gt;0)</f>
        <v>0</v>
      </c>
      <c r="U114" s="8">
        <f>Таблица17[[#This Row],[Бетон]]+Таблица17[[#This Row],[Асфальт]]+Таблица17[[#This Row],[Щебень]]</f>
        <v>0</v>
      </c>
      <c r="V114" s="168"/>
    </row>
    <row r="115" spans="1:23" ht="36" hidden="1" x14ac:dyDescent="0.35">
      <c r="A115" s="171">
        <v>114</v>
      </c>
      <c r="B115" s="171" t="s">
        <v>221</v>
      </c>
      <c r="C115" s="171" t="s">
        <v>222</v>
      </c>
      <c r="D115" s="171" t="s">
        <v>538</v>
      </c>
      <c r="E115" s="171">
        <f>Таблица17[[#This Row],[Грунт]]+Таблица17[[#This Row],[Щебень]]+Таблица17[[#This Row],[Асфальт]]+Таблица17[[#This Row],[Бетон]]</f>
        <v>1.5</v>
      </c>
      <c r="F115" s="172">
        <v>1.5</v>
      </c>
      <c r="G115" s="173"/>
      <c r="H115" s="174"/>
      <c r="I115" s="175"/>
      <c r="J115" s="176"/>
      <c r="K115" s="8" t="s">
        <v>558</v>
      </c>
      <c r="N115" s="8" t="b">
        <f>OR(Таблица17[[#This Row],[Щебень]]&gt;0,Таблица17[[#This Row],[Асфальт]]&gt;0,Таблица17[[#This Row],[Бетон]]&gt;0)</f>
        <v>0</v>
      </c>
      <c r="U115" s="8">
        <f>Таблица17[[#This Row],[Бетон]]+Таблица17[[#This Row],[Асфальт]]+Таблица17[[#This Row],[Щебень]]</f>
        <v>0</v>
      </c>
      <c r="V115" s="168"/>
    </row>
    <row r="116" spans="1:23" ht="36" hidden="1" x14ac:dyDescent="0.35">
      <c r="A116" s="171">
        <v>115</v>
      </c>
      <c r="B116" s="171" t="s">
        <v>223</v>
      </c>
      <c r="C116" s="171" t="s">
        <v>224</v>
      </c>
      <c r="D116" s="171" t="s">
        <v>538</v>
      </c>
      <c r="E116" s="171">
        <f>Таблица17[[#This Row],[Грунт]]+Таблица17[[#This Row],[Щебень]]+Таблица17[[#This Row],[Асфальт]]+Таблица17[[#This Row],[Бетон]]</f>
        <v>1</v>
      </c>
      <c r="F116" s="172">
        <v>1</v>
      </c>
      <c r="G116" s="173"/>
      <c r="H116" s="174"/>
      <c r="I116" s="175"/>
      <c r="J116" s="176"/>
      <c r="N116" s="8" t="b">
        <f>OR(Таблица17[[#This Row],[Щебень]]&gt;0,Таблица17[[#This Row],[Асфальт]]&gt;0,Таблица17[[#This Row],[Бетон]]&gt;0)</f>
        <v>0</v>
      </c>
      <c r="U116" s="8">
        <f>Таблица17[[#This Row],[Бетон]]+Таблица17[[#This Row],[Асфальт]]+Таблица17[[#This Row],[Щебень]]</f>
        <v>0</v>
      </c>
      <c r="V116" s="168"/>
    </row>
    <row r="117" spans="1:23" ht="70.5" hidden="1" x14ac:dyDescent="0.35">
      <c r="A117" s="171">
        <v>116</v>
      </c>
      <c r="B117" s="171" t="s">
        <v>225</v>
      </c>
      <c r="C117" s="171" t="s">
        <v>226</v>
      </c>
      <c r="D117" s="171" t="s">
        <v>537</v>
      </c>
      <c r="E117" s="171">
        <f>Таблица17[[#This Row],[Грунт]]+Таблица17[[#This Row],[Щебень]]+Таблица17[[#This Row],[Асфальт]]+Таблица17[[#This Row],[Бетон]]</f>
        <v>5</v>
      </c>
      <c r="F117" s="172">
        <v>3</v>
      </c>
      <c r="G117" s="173">
        <v>1.5</v>
      </c>
      <c r="H117" s="174"/>
      <c r="I117" s="175">
        <v>0.5</v>
      </c>
      <c r="J117" s="176"/>
      <c r="N117" s="8" t="b">
        <f>OR(Таблица17[[#This Row],[Щебень]]&gt;0,Таблица17[[#This Row],[Асфальт]]&gt;0,Таблица17[[#This Row],[Бетон]]&gt;0)</f>
        <v>1</v>
      </c>
      <c r="O117" s="8">
        <v>1</v>
      </c>
      <c r="U117" s="8">
        <f>Таблица17[[#This Row],[Бетон]]+Таблица17[[#This Row],[Асфальт]]+Таблица17[[#This Row],[Щебень]]</f>
        <v>2</v>
      </c>
      <c r="V117" s="168"/>
    </row>
    <row r="118" spans="1:23" ht="70.5" hidden="1" x14ac:dyDescent="0.35">
      <c r="A118" s="171">
        <v>117</v>
      </c>
      <c r="B118" s="171" t="s">
        <v>227</v>
      </c>
      <c r="C118" s="171" t="s">
        <v>228</v>
      </c>
      <c r="D118" s="171" t="s">
        <v>537</v>
      </c>
      <c r="E118" s="171">
        <f>Таблица17[[#This Row],[Грунт]]+Таблица17[[#This Row],[Щебень]]+Таблица17[[#This Row],[Асфальт]]+Таблица17[[#This Row],[Бетон]]</f>
        <v>1</v>
      </c>
      <c r="F118" s="172">
        <v>1</v>
      </c>
      <c r="G118" s="173"/>
      <c r="H118" s="174"/>
      <c r="I118" s="175"/>
      <c r="J118" s="176"/>
      <c r="N118" s="8" t="b">
        <f>OR(Таблица17[[#This Row],[Щебень]]&gt;0,Таблица17[[#This Row],[Асфальт]]&gt;0,Таблица17[[#This Row],[Бетон]]&gt;0)</f>
        <v>0</v>
      </c>
      <c r="U118" s="8">
        <f>Таблица17[[#This Row],[Бетон]]+Таблица17[[#This Row],[Асфальт]]+Таблица17[[#This Row],[Щебень]]</f>
        <v>0</v>
      </c>
      <c r="V118" s="168"/>
    </row>
    <row r="119" spans="1:23" ht="70.5" hidden="1" x14ac:dyDescent="0.35">
      <c r="A119" s="171">
        <v>118</v>
      </c>
      <c r="B119" s="171" t="s">
        <v>229</v>
      </c>
      <c r="C119" s="171" t="s">
        <v>230</v>
      </c>
      <c r="D119" s="171" t="s">
        <v>537</v>
      </c>
      <c r="E119" s="171">
        <f>Таблица17[[#This Row],[Грунт]]+Таблица17[[#This Row],[Щебень]]+Таблица17[[#This Row],[Асфальт]]+Таблица17[[#This Row],[Бетон]]</f>
        <v>1.1000000000000001</v>
      </c>
      <c r="F119" s="172">
        <v>1.1000000000000001</v>
      </c>
      <c r="G119" s="173"/>
      <c r="H119" s="174"/>
      <c r="I119" s="175"/>
      <c r="J119" s="176"/>
      <c r="N119" s="8" t="b">
        <f>OR(Таблица17[[#This Row],[Щебень]]&gt;0,Таблица17[[#This Row],[Асфальт]]&gt;0,Таблица17[[#This Row],[Бетон]]&gt;0)</f>
        <v>0</v>
      </c>
      <c r="U119" s="8">
        <f>Таблица17[[#This Row],[Бетон]]+Таблица17[[#This Row],[Асфальт]]+Таблица17[[#This Row],[Щебень]]</f>
        <v>0</v>
      </c>
      <c r="V119" s="168"/>
    </row>
    <row r="120" spans="1:23" ht="70.5" hidden="1" x14ac:dyDescent="0.35">
      <c r="A120" s="171">
        <v>119</v>
      </c>
      <c r="B120" s="171" t="s">
        <v>231</v>
      </c>
      <c r="C120" s="171" t="s">
        <v>232</v>
      </c>
      <c r="D120" s="171" t="s">
        <v>539</v>
      </c>
      <c r="E120" s="171">
        <f>Таблица17[[#This Row],[Грунт]]+Таблица17[[#This Row],[Щебень]]+Таблица17[[#This Row],[Асфальт]]+Таблица17[[#This Row],[Бетон]]</f>
        <v>1.5</v>
      </c>
      <c r="F120" s="172">
        <v>1</v>
      </c>
      <c r="G120" s="173">
        <v>0.5</v>
      </c>
      <c r="H120" s="174"/>
      <c r="I120" s="175"/>
      <c r="J120" s="176"/>
      <c r="N120" s="8" t="b">
        <f>OR(Таблица17[[#This Row],[Щебень]]&gt;0,Таблица17[[#This Row],[Асфальт]]&gt;0,Таблица17[[#This Row],[Бетон]]&gt;0)</f>
        <v>1</v>
      </c>
      <c r="O120" s="8">
        <v>1</v>
      </c>
      <c r="U120" s="8">
        <f>Таблица17[[#This Row],[Бетон]]+Таблица17[[#This Row],[Асфальт]]+Таблица17[[#This Row],[Щебень]]</f>
        <v>0.5</v>
      </c>
      <c r="V120" s="168"/>
    </row>
    <row r="121" spans="1:23" ht="70.5" hidden="1" x14ac:dyDescent="0.35">
      <c r="A121" s="171">
        <v>120</v>
      </c>
      <c r="B121" s="171" t="s">
        <v>233</v>
      </c>
      <c r="C121" s="171" t="s">
        <v>234</v>
      </c>
      <c r="D121" s="171" t="s">
        <v>539</v>
      </c>
      <c r="E121" s="171">
        <f>Таблица17[[#This Row],[Грунт]]+Таблица17[[#This Row],[Щебень]]+Таблица17[[#This Row],[Асфальт]]+Таблица17[[#This Row],[Бетон]]</f>
        <v>3.0859999999999999</v>
      </c>
      <c r="F121" s="172"/>
      <c r="G121" s="191"/>
      <c r="H121" s="192">
        <v>3.0859999999999999</v>
      </c>
      <c r="I121" s="175"/>
      <c r="J121" s="176"/>
      <c r="K121" s="10" t="s">
        <v>557</v>
      </c>
      <c r="N121" s="8" t="b">
        <f>OR(Таблица17[[#This Row],[Щебень]]&gt;0,Таблица17[[#This Row],[Асфальт]]&gt;0,Таблица17[[#This Row],[Бетон]]&gt;0)</f>
        <v>1</v>
      </c>
      <c r="O121" s="8">
        <v>1</v>
      </c>
      <c r="U121" s="8">
        <f>Таблица17[[#This Row],[Бетон]]+Таблица17[[#This Row],[Асфальт]]+Таблица17[[#This Row],[Щебень]]</f>
        <v>3.0859999999999999</v>
      </c>
      <c r="V121" s="168"/>
    </row>
    <row r="122" spans="1:23" ht="70.5" hidden="1" x14ac:dyDescent="0.35">
      <c r="A122" s="171">
        <v>121</v>
      </c>
      <c r="B122" s="171" t="s">
        <v>235</v>
      </c>
      <c r="C122" s="171" t="s">
        <v>236</v>
      </c>
      <c r="D122" s="171" t="s">
        <v>539</v>
      </c>
      <c r="E122" s="171">
        <f>Таблица17[[#This Row],[Грунт]]+Таблица17[[#This Row],[Щебень]]+Таблица17[[#This Row],[Асфальт]]+Таблица17[[#This Row],[Бетон]]</f>
        <v>0.5</v>
      </c>
      <c r="F122" s="172">
        <v>0.5</v>
      </c>
      <c r="G122" s="173"/>
      <c r="H122" s="174"/>
      <c r="I122" s="175"/>
      <c r="J122" s="176"/>
      <c r="N122" s="8" t="b">
        <f>OR(Таблица17[[#This Row],[Щебень]]&gt;0,Таблица17[[#This Row],[Асфальт]]&gt;0,Таблица17[[#This Row],[Бетон]]&gt;0)</f>
        <v>0</v>
      </c>
      <c r="U122" s="8">
        <f>Таблица17[[#This Row],[Бетон]]+Таблица17[[#This Row],[Асфальт]]+Таблица17[[#This Row],[Щебень]]</f>
        <v>0</v>
      </c>
      <c r="V122" s="168"/>
    </row>
    <row r="123" spans="1:23" ht="70.5" hidden="1" x14ac:dyDescent="0.35">
      <c r="A123" s="171">
        <v>122</v>
      </c>
      <c r="B123" s="171" t="s">
        <v>237</v>
      </c>
      <c r="C123" s="171" t="s">
        <v>238</v>
      </c>
      <c r="D123" s="171" t="s">
        <v>539</v>
      </c>
      <c r="E123" s="171">
        <f>Таблица17[[#This Row],[Грунт]]+Таблица17[[#This Row],[Щебень]]+Таблица17[[#This Row],[Асфальт]]+Таблица17[[#This Row],[Бетон]]</f>
        <v>1</v>
      </c>
      <c r="F123" s="172">
        <v>1</v>
      </c>
      <c r="G123" s="173"/>
      <c r="H123" s="174"/>
      <c r="I123" s="175"/>
      <c r="J123" s="176"/>
      <c r="N123" s="8" t="b">
        <f>OR(Таблица17[[#This Row],[Щебень]]&gt;0,Таблица17[[#This Row],[Асфальт]]&gt;0,Таблица17[[#This Row],[Бетон]]&gt;0)</f>
        <v>0</v>
      </c>
      <c r="U123" s="8">
        <f>Таблица17[[#This Row],[Бетон]]+Таблица17[[#This Row],[Асфальт]]+Таблица17[[#This Row],[Щебень]]</f>
        <v>0</v>
      </c>
      <c r="V123" s="168"/>
    </row>
    <row r="124" spans="1:23" ht="70.5" hidden="1" x14ac:dyDescent="0.35">
      <c r="A124" s="171">
        <v>123</v>
      </c>
      <c r="B124" s="171" t="s">
        <v>239</v>
      </c>
      <c r="C124" s="171" t="s">
        <v>240</v>
      </c>
      <c r="D124" s="171" t="s">
        <v>539</v>
      </c>
      <c r="E124" s="171">
        <f>Таблица17[[#This Row],[Грунт]]+Таблица17[[#This Row],[Щебень]]+Таблица17[[#This Row],[Асфальт]]+Таблица17[[#This Row],[Бетон]]</f>
        <v>1</v>
      </c>
      <c r="F124" s="172">
        <v>1</v>
      </c>
      <c r="G124" s="173"/>
      <c r="H124" s="174"/>
      <c r="I124" s="175"/>
      <c r="J124" s="176"/>
      <c r="N124" s="8" t="b">
        <f>OR(Таблица17[[#This Row],[Щебень]]&gt;0,Таблица17[[#This Row],[Асфальт]]&gt;0,Таблица17[[#This Row],[Бетон]]&gt;0)</f>
        <v>0</v>
      </c>
      <c r="U124" s="8">
        <f>Таблица17[[#This Row],[Бетон]]+Таблица17[[#This Row],[Асфальт]]+Таблица17[[#This Row],[Щебень]]</f>
        <v>0</v>
      </c>
      <c r="V124" s="168"/>
    </row>
    <row r="125" spans="1:23" ht="70.5" hidden="1" x14ac:dyDescent="0.35">
      <c r="A125" s="171">
        <v>124</v>
      </c>
      <c r="B125" s="171" t="s">
        <v>241</v>
      </c>
      <c r="C125" s="171" t="s">
        <v>242</v>
      </c>
      <c r="D125" s="171" t="s">
        <v>539</v>
      </c>
      <c r="E125" s="171">
        <f>Таблица17[[#This Row],[Грунт]]+Таблица17[[#This Row],[Щебень]]+Таблица17[[#This Row],[Асфальт]]+Таблица17[[#This Row],[Бетон]]</f>
        <v>0.8</v>
      </c>
      <c r="F125" s="172">
        <v>0.8</v>
      </c>
      <c r="G125" s="173"/>
      <c r="H125" s="174"/>
      <c r="I125" s="175"/>
      <c r="J125" s="176"/>
      <c r="N125" s="8" t="b">
        <f>OR(Таблица17[[#This Row],[Щебень]]&gt;0,Таблица17[[#This Row],[Асфальт]]&gt;0,Таблица17[[#This Row],[Бетон]]&gt;0)</f>
        <v>0</v>
      </c>
      <c r="U125" s="8">
        <f>Таблица17[[#This Row],[Бетон]]+Таблица17[[#This Row],[Асфальт]]+Таблица17[[#This Row],[Щебень]]</f>
        <v>0</v>
      </c>
      <c r="V125" s="168"/>
    </row>
    <row r="126" spans="1:23" ht="70.5" hidden="1" x14ac:dyDescent="0.35">
      <c r="A126" s="171">
        <v>125</v>
      </c>
      <c r="B126" s="171" t="s">
        <v>243</v>
      </c>
      <c r="C126" s="171" t="s">
        <v>244</v>
      </c>
      <c r="D126" s="171" t="s">
        <v>539</v>
      </c>
      <c r="E126" s="171">
        <f>Таблица17[[#This Row],[Грунт]]+Таблица17[[#This Row],[Щебень]]+Таблица17[[#This Row],[Асфальт]]+Таблица17[[#This Row],[Бетон]]</f>
        <v>1</v>
      </c>
      <c r="F126" s="172">
        <v>0.2</v>
      </c>
      <c r="G126" s="173">
        <v>0.8</v>
      </c>
      <c r="H126" s="174"/>
      <c r="I126" s="175"/>
      <c r="J126" s="176"/>
      <c r="N126" s="8" t="b">
        <f>OR(Таблица17[[#This Row],[Щебень]]&gt;0,Таблица17[[#This Row],[Асфальт]]&gt;0,Таблица17[[#This Row],[Бетон]]&gt;0)</f>
        <v>1</v>
      </c>
      <c r="O126" s="8">
        <v>1</v>
      </c>
      <c r="U126" s="8">
        <f>Таблица17[[#This Row],[Бетон]]+Таблица17[[#This Row],[Асфальт]]+Таблица17[[#This Row],[Щебень]]</f>
        <v>0.8</v>
      </c>
      <c r="V126" s="168"/>
    </row>
    <row r="127" spans="1:23" ht="70.5" hidden="1" x14ac:dyDescent="0.35">
      <c r="A127" s="171">
        <v>126</v>
      </c>
      <c r="B127" s="171" t="s">
        <v>245</v>
      </c>
      <c r="C127" s="171" t="s">
        <v>246</v>
      </c>
      <c r="D127" s="171" t="s">
        <v>539</v>
      </c>
      <c r="E127" s="171">
        <f>Таблица17[[#This Row],[Грунт]]+Таблица17[[#This Row],[Щебень]]+Таблица17[[#This Row],[Асфальт]]+Таблица17[[#This Row],[Бетон]]</f>
        <v>1.5</v>
      </c>
      <c r="F127" s="172">
        <v>1</v>
      </c>
      <c r="G127" s="173"/>
      <c r="H127" s="174">
        <v>0.5</v>
      </c>
      <c r="I127" s="175"/>
      <c r="J127" s="176"/>
      <c r="N127" s="8" t="b">
        <f>OR(Таблица17[[#This Row],[Щебень]]&gt;0,Таблица17[[#This Row],[Асфальт]]&gt;0,Таблица17[[#This Row],[Бетон]]&gt;0)</f>
        <v>1</v>
      </c>
      <c r="O127" s="8">
        <v>1</v>
      </c>
      <c r="U127" s="8">
        <f>Таблица17[[#This Row],[Бетон]]+Таблица17[[#This Row],[Асфальт]]+Таблица17[[#This Row],[Щебень]]</f>
        <v>0.5</v>
      </c>
      <c r="V127" s="168"/>
      <c r="W127" s="8">
        <v>0.5</v>
      </c>
    </row>
    <row r="128" spans="1:23" ht="70.5" hidden="1" x14ac:dyDescent="0.35">
      <c r="A128" s="171">
        <v>127</v>
      </c>
      <c r="B128" s="171" t="s">
        <v>247</v>
      </c>
      <c r="C128" s="171" t="s">
        <v>248</v>
      </c>
      <c r="D128" s="171" t="s">
        <v>539</v>
      </c>
      <c r="E128" s="171">
        <f>Таблица17[[#This Row],[Грунт]]+Таблица17[[#This Row],[Щебень]]+Таблица17[[#This Row],[Асфальт]]+Таблица17[[#This Row],[Бетон]]</f>
        <v>0.8</v>
      </c>
      <c r="F128" s="172">
        <v>0.8</v>
      </c>
      <c r="G128" s="173"/>
      <c r="H128" s="174"/>
      <c r="I128" s="175"/>
      <c r="J128" s="176"/>
      <c r="N128" s="8" t="b">
        <f>OR(Таблица17[[#This Row],[Щебень]]&gt;0,Таблица17[[#This Row],[Асфальт]]&gt;0,Таблица17[[#This Row],[Бетон]]&gt;0)</f>
        <v>0</v>
      </c>
      <c r="U128" s="8">
        <f>Таблица17[[#This Row],[Бетон]]+Таблица17[[#This Row],[Асфальт]]+Таблица17[[#This Row],[Щебень]]</f>
        <v>0</v>
      </c>
      <c r="V128" s="168"/>
    </row>
    <row r="129" spans="1:26" ht="70.5" hidden="1" x14ac:dyDescent="0.35">
      <c r="A129" s="171">
        <v>128</v>
      </c>
      <c r="B129" s="171" t="s">
        <v>249</v>
      </c>
      <c r="C129" s="171" t="s">
        <v>250</v>
      </c>
      <c r="D129" s="171" t="s">
        <v>539</v>
      </c>
      <c r="E129" s="171">
        <f>Таблица17[[#This Row],[Грунт]]+Таблица17[[#This Row],[Щебень]]+Таблица17[[#This Row],[Асфальт]]+Таблица17[[#This Row],[Бетон]]</f>
        <v>1</v>
      </c>
      <c r="F129" s="172">
        <v>0.7</v>
      </c>
      <c r="G129" s="173">
        <v>0.3</v>
      </c>
      <c r="H129" s="174"/>
      <c r="I129" s="175"/>
      <c r="J129" s="176"/>
      <c r="N129" s="8" t="b">
        <f>OR(Таблица17[[#This Row],[Щебень]]&gt;0,Таблица17[[#This Row],[Асфальт]]&gt;0,Таблица17[[#This Row],[Бетон]]&gt;0)</f>
        <v>1</v>
      </c>
      <c r="O129" s="8">
        <v>1</v>
      </c>
      <c r="U129" s="8">
        <f>Таблица17[[#This Row],[Бетон]]+Таблица17[[#This Row],[Асфальт]]+Таблица17[[#This Row],[Щебень]]</f>
        <v>0.3</v>
      </c>
      <c r="V129" s="168"/>
    </row>
    <row r="130" spans="1:26" ht="70.5" hidden="1" x14ac:dyDescent="0.35">
      <c r="A130" s="171">
        <v>129</v>
      </c>
      <c r="B130" s="171" t="s">
        <v>251</v>
      </c>
      <c r="C130" s="171" t="s">
        <v>252</v>
      </c>
      <c r="D130" s="171" t="s">
        <v>539</v>
      </c>
      <c r="E130" s="171">
        <f>Таблица17[[#This Row],[Грунт]]+Таблица17[[#This Row],[Щебень]]+Таблица17[[#This Row],[Асфальт]]+Таблица17[[#This Row],[Бетон]]</f>
        <v>0.8</v>
      </c>
      <c r="F130" s="172">
        <v>0.8</v>
      </c>
      <c r="G130" s="173"/>
      <c r="H130" s="174"/>
      <c r="I130" s="175"/>
      <c r="J130" s="176"/>
      <c r="N130" s="8" t="b">
        <f>OR(Таблица17[[#This Row],[Щебень]]&gt;0,Таблица17[[#This Row],[Асфальт]]&gt;0,Таблица17[[#This Row],[Бетон]]&gt;0)</f>
        <v>0</v>
      </c>
      <c r="U130" s="8">
        <f>Таблица17[[#This Row],[Бетон]]+Таблица17[[#This Row],[Асфальт]]+Таблица17[[#This Row],[Щебень]]</f>
        <v>0</v>
      </c>
      <c r="V130" s="168"/>
    </row>
    <row r="131" spans="1:26" ht="70.5" hidden="1" x14ac:dyDescent="0.35">
      <c r="A131" s="171">
        <v>130</v>
      </c>
      <c r="B131" s="171" t="s">
        <v>253</v>
      </c>
      <c r="C131" s="171" t="s">
        <v>254</v>
      </c>
      <c r="D131" s="171" t="s">
        <v>539</v>
      </c>
      <c r="E131" s="171">
        <f>Таблица17[[#This Row],[Грунт]]+Таблица17[[#This Row],[Щебень]]+Таблица17[[#This Row],[Асфальт]]+Таблица17[[#This Row],[Бетон]]</f>
        <v>1.5</v>
      </c>
      <c r="F131" s="172">
        <v>1.5</v>
      </c>
      <c r="G131" s="173"/>
      <c r="H131" s="174"/>
      <c r="I131" s="175"/>
      <c r="J131" s="176"/>
      <c r="N131" s="8" t="b">
        <f>OR(Таблица17[[#This Row],[Щебень]]&gt;0,Таблица17[[#This Row],[Асфальт]]&gt;0,Таблица17[[#This Row],[Бетон]]&gt;0)</f>
        <v>0</v>
      </c>
      <c r="U131" s="8">
        <f>Таблица17[[#This Row],[Бетон]]+Таблица17[[#This Row],[Асфальт]]+Таблица17[[#This Row],[Щебень]]</f>
        <v>0</v>
      </c>
      <c r="V131" s="168"/>
    </row>
    <row r="132" spans="1:26" ht="70.5" hidden="1" x14ac:dyDescent="0.35">
      <c r="A132" s="171">
        <v>131</v>
      </c>
      <c r="B132" s="171" t="s">
        <v>255</v>
      </c>
      <c r="C132" s="171" t="s">
        <v>256</v>
      </c>
      <c r="D132" s="171" t="s">
        <v>539</v>
      </c>
      <c r="E132" s="171">
        <f>Таблица17[[#This Row],[Грунт]]+Таблица17[[#This Row],[Щебень]]+Таблица17[[#This Row],[Асфальт]]+Таблица17[[#This Row],[Бетон]]</f>
        <v>0.8</v>
      </c>
      <c r="F132" s="172">
        <v>0.8</v>
      </c>
      <c r="G132" s="173"/>
      <c r="H132" s="174"/>
      <c r="I132" s="175"/>
      <c r="J132" s="176"/>
      <c r="N132" s="8" t="b">
        <f>OR(Таблица17[[#This Row],[Щебень]]&gt;0,Таблица17[[#This Row],[Асфальт]]&gt;0,Таблица17[[#This Row],[Бетон]]&gt;0)</f>
        <v>0</v>
      </c>
      <c r="U132" s="8">
        <f>Таблица17[[#This Row],[Бетон]]+Таблица17[[#This Row],[Асфальт]]+Таблица17[[#This Row],[Щебень]]</f>
        <v>0</v>
      </c>
      <c r="V132" s="168"/>
    </row>
    <row r="133" spans="1:26" ht="70.5" hidden="1" x14ac:dyDescent="0.35">
      <c r="A133" s="171">
        <v>132</v>
      </c>
      <c r="B133" s="171" t="s">
        <v>257</v>
      </c>
      <c r="C133" s="171" t="s">
        <v>258</v>
      </c>
      <c r="D133" s="171" t="s">
        <v>539</v>
      </c>
      <c r="E133" s="171">
        <f>Таблица17[[#This Row],[Грунт]]+Таблица17[[#This Row],[Щебень]]+Таблица17[[#This Row],[Асфальт]]+Таблица17[[#This Row],[Бетон]]</f>
        <v>0.5</v>
      </c>
      <c r="F133" s="172">
        <v>0.5</v>
      </c>
      <c r="G133" s="173"/>
      <c r="H133" s="174"/>
      <c r="I133" s="175"/>
      <c r="J133" s="176"/>
      <c r="N133" s="8" t="b">
        <f>OR(Таблица17[[#This Row],[Щебень]]&gt;0,Таблица17[[#This Row],[Асфальт]]&gt;0,Таблица17[[#This Row],[Бетон]]&gt;0)</f>
        <v>0</v>
      </c>
      <c r="U133" s="8">
        <f>Таблица17[[#This Row],[Бетон]]+Таблица17[[#This Row],[Асфальт]]+Таблица17[[#This Row],[Щебень]]</f>
        <v>0</v>
      </c>
      <c r="V133" s="168"/>
    </row>
    <row r="134" spans="1:26" ht="70.5" hidden="1" x14ac:dyDescent="0.35">
      <c r="A134" s="171">
        <v>133</v>
      </c>
      <c r="B134" s="171" t="s">
        <v>259</v>
      </c>
      <c r="C134" s="171" t="s">
        <v>260</v>
      </c>
      <c r="D134" s="171" t="s">
        <v>539</v>
      </c>
      <c r="E134" s="171">
        <f>Таблица17[[#This Row],[Грунт]]+Таблица17[[#This Row],[Щебень]]+Таблица17[[#This Row],[Асфальт]]+Таблица17[[#This Row],[Бетон]]</f>
        <v>0.5</v>
      </c>
      <c r="F134" s="172">
        <v>0.5</v>
      </c>
      <c r="G134" s="173"/>
      <c r="H134" s="174"/>
      <c r="I134" s="175"/>
      <c r="J134" s="176"/>
      <c r="N134" s="8" t="b">
        <f>OR(Таблица17[[#This Row],[Щебень]]&gt;0,Таблица17[[#This Row],[Асфальт]]&gt;0,Таблица17[[#This Row],[Бетон]]&gt;0)</f>
        <v>0</v>
      </c>
      <c r="U134" s="8">
        <f>Таблица17[[#This Row],[Бетон]]+Таблица17[[#This Row],[Асфальт]]+Таблица17[[#This Row],[Щебень]]</f>
        <v>0</v>
      </c>
      <c r="V134" s="168"/>
    </row>
    <row r="135" spans="1:26" ht="70.5" hidden="1" x14ac:dyDescent="0.35">
      <c r="A135" s="171">
        <v>134</v>
      </c>
      <c r="B135" s="171" t="s">
        <v>261</v>
      </c>
      <c r="C135" s="171" t="s">
        <v>560</v>
      </c>
      <c r="D135" s="171" t="s">
        <v>539</v>
      </c>
      <c r="E135" s="171">
        <f>Таблица17[[#This Row],[Грунт]]+Таблица17[[#This Row],[Щебень]]+Таблица17[[#This Row],[Асфальт]]+Таблица17[[#This Row],[Бетон]]</f>
        <v>0.5</v>
      </c>
      <c r="F135" s="172">
        <v>0.5</v>
      </c>
      <c r="G135" s="173"/>
      <c r="H135" s="174"/>
      <c r="I135" s="175"/>
      <c r="J135" s="176"/>
      <c r="N135" s="8" t="b">
        <f>OR(Таблица17[[#This Row],[Щебень]]&gt;0,Таблица17[[#This Row],[Асфальт]]&gt;0,Таблица17[[#This Row],[Бетон]]&gt;0)</f>
        <v>0</v>
      </c>
      <c r="U135" s="8">
        <f>Таблица17[[#This Row],[Бетон]]+Таблица17[[#This Row],[Асфальт]]+Таблица17[[#This Row],[Щебень]]</f>
        <v>0</v>
      </c>
      <c r="V135" s="168"/>
    </row>
    <row r="136" spans="1:26" ht="70.5" hidden="1" x14ac:dyDescent="0.35">
      <c r="A136" s="171">
        <v>135</v>
      </c>
      <c r="B136" s="171" t="s">
        <v>262</v>
      </c>
      <c r="C136" s="171" t="s">
        <v>263</v>
      </c>
      <c r="D136" s="171" t="s">
        <v>539</v>
      </c>
      <c r="E136" s="171">
        <f>Таблица17[[#This Row],[Грунт]]+Таблица17[[#This Row],[Щебень]]+Таблица17[[#This Row],[Асфальт]]+Таблица17[[#This Row],[Бетон]]</f>
        <v>0.5</v>
      </c>
      <c r="F136" s="172">
        <v>0.5</v>
      </c>
      <c r="G136" s="173"/>
      <c r="H136" s="174"/>
      <c r="I136" s="175"/>
      <c r="J136" s="176"/>
      <c r="N136" s="8" t="b">
        <f>OR(Таблица17[[#This Row],[Щебень]]&gt;0,Таблица17[[#This Row],[Асфальт]]&gt;0,Таблица17[[#This Row],[Бетон]]&gt;0)</f>
        <v>0</v>
      </c>
      <c r="U136" s="8">
        <f>Таблица17[[#This Row],[Бетон]]+Таблица17[[#This Row],[Асфальт]]+Таблица17[[#This Row],[Щебень]]</f>
        <v>0</v>
      </c>
      <c r="V136" s="168"/>
    </row>
    <row r="137" spans="1:26" ht="70.5" hidden="1" x14ac:dyDescent="0.35">
      <c r="A137" s="171">
        <v>136</v>
      </c>
      <c r="B137" s="171" t="s">
        <v>264</v>
      </c>
      <c r="C137" s="171" t="s">
        <v>265</v>
      </c>
      <c r="D137" s="171" t="s">
        <v>539</v>
      </c>
      <c r="E137" s="171">
        <f>Таблица17[[#This Row],[Грунт]]+Таблица17[[#This Row],[Щебень]]+Таблица17[[#This Row],[Асфальт]]+Таблица17[[#This Row],[Бетон]]</f>
        <v>0.5</v>
      </c>
      <c r="F137" s="172">
        <v>0.5</v>
      </c>
      <c r="G137" s="173"/>
      <c r="H137" s="174"/>
      <c r="I137" s="175"/>
      <c r="J137" s="176"/>
      <c r="N137" s="8" t="b">
        <f>OR(Таблица17[[#This Row],[Щебень]]&gt;0,Таблица17[[#This Row],[Асфальт]]&gt;0,Таблица17[[#This Row],[Бетон]]&gt;0)</f>
        <v>0</v>
      </c>
      <c r="U137" s="8">
        <f>Таблица17[[#This Row],[Бетон]]+Таблица17[[#This Row],[Асфальт]]+Таблица17[[#This Row],[Щебень]]</f>
        <v>0</v>
      </c>
      <c r="V137" s="168"/>
    </row>
    <row r="138" spans="1:26" ht="70.5" hidden="1" x14ac:dyDescent="0.35">
      <c r="A138" s="171">
        <v>137</v>
      </c>
      <c r="B138" s="171" t="s">
        <v>266</v>
      </c>
      <c r="C138" s="171" t="s">
        <v>267</v>
      </c>
      <c r="D138" s="171" t="s">
        <v>540</v>
      </c>
      <c r="E138" s="171">
        <f>Таблица17[[#This Row],[Грунт]]+Таблица17[[#This Row],[Щебень]]+Таблица17[[#This Row],[Асфальт]]+Таблица17[[#This Row],[Бетон]]</f>
        <v>3.3</v>
      </c>
      <c r="F138" s="172"/>
      <c r="G138" s="173">
        <v>3</v>
      </c>
      <c r="H138" s="174">
        <v>0.3</v>
      </c>
      <c r="I138" s="175"/>
      <c r="J138" s="176"/>
      <c r="N138" s="8" t="b">
        <f>OR(Таблица17[[#This Row],[Щебень]]&gt;0,Таблица17[[#This Row],[Асфальт]]&gt;0,Таблица17[[#This Row],[Бетон]]&gt;0)</f>
        <v>1</v>
      </c>
      <c r="O138" s="8">
        <v>1</v>
      </c>
      <c r="U138" s="8">
        <f>Таблица17[[#This Row],[Бетон]]+Таблица17[[#This Row],[Асфальт]]+Таблица17[[#This Row],[Щебень]]</f>
        <v>3.3</v>
      </c>
      <c r="V138" s="168"/>
    </row>
    <row r="139" spans="1:26" ht="70.5" hidden="1" x14ac:dyDescent="0.35">
      <c r="A139" s="171">
        <v>138</v>
      </c>
      <c r="B139" s="171" t="s">
        <v>268</v>
      </c>
      <c r="C139" s="171" t="s">
        <v>269</v>
      </c>
      <c r="D139" s="171" t="s">
        <v>540</v>
      </c>
      <c r="E139" s="171">
        <f>Таблица17[[#This Row],[Грунт]]+Таблица17[[#This Row],[Щебень]]+Таблица17[[#This Row],[Асфальт]]+Таблица17[[#This Row],[Бетон]]</f>
        <v>1</v>
      </c>
      <c r="F139" s="172">
        <v>1</v>
      </c>
      <c r="G139" s="173"/>
      <c r="H139" s="174"/>
      <c r="I139" s="175"/>
      <c r="J139" s="176"/>
      <c r="N139" s="8" t="b">
        <f>OR(Таблица17[[#This Row],[Щебень]]&gt;0,Таблица17[[#This Row],[Асфальт]]&gt;0,Таблица17[[#This Row],[Бетон]]&gt;0)</f>
        <v>0</v>
      </c>
      <c r="U139" s="8">
        <f>Таблица17[[#This Row],[Бетон]]+Таблица17[[#This Row],[Асфальт]]+Таблица17[[#This Row],[Щебень]]</f>
        <v>0</v>
      </c>
      <c r="V139" s="168"/>
    </row>
    <row r="140" spans="1:26" ht="70.5" hidden="1" x14ac:dyDescent="0.35">
      <c r="A140" s="171">
        <v>139</v>
      </c>
      <c r="B140" s="171" t="s">
        <v>270</v>
      </c>
      <c r="C140" s="171" t="s">
        <v>271</v>
      </c>
      <c r="D140" s="171" t="s">
        <v>540</v>
      </c>
      <c r="E140" s="171">
        <f>Таблица17[[#This Row],[Грунт]]+Таблица17[[#This Row],[Щебень]]+Таблица17[[#This Row],[Асфальт]]+Таблица17[[#This Row],[Бетон]]</f>
        <v>1.1000000000000001</v>
      </c>
      <c r="F140" s="172">
        <v>1.1000000000000001</v>
      </c>
      <c r="G140" s="173"/>
      <c r="H140" s="174"/>
      <c r="I140" s="175"/>
      <c r="J140" s="176"/>
      <c r="N140" s="8" t="b">
        <f>OR(Таблица17[[#This Row],[Щебень]]&gt;0,Таблица17[[#This Row],[Асфальт]]&gt;0,Таблица17[[#This Row],[Бетон]]&gt;0)</f>
        <v>0</v>
      </c>
      <c r="U140" s="8">
        <f>Таблица17[[#This Row],[Бетон]]+Таблица17[[#This Row],[Асфальт]]+Таблица17[[#This Row],[Щебень]]</f>
        <v>0</v>
      </c>
      <c r="V140" s="168"/>
    </row>
    <row r="141" spans="1:26" ht="70.5" x14ac:dyDescent="0.35">
      <c r="A141" s="171">
        <v>140</v>
      </c>
      <c r="B141" s="171" t="s">
        <v>272</v>
      </c>
      <c r="C141" s="171" t="s">
        <v>273</v>
      </c>
      <c r="D141" s="171" t="s">
        <v>540</v>
      </c>
      <c r="E141" s="171">
        <f>Таблица17[[#This Row],[Грунт]]+Таблица17[[#This Row],[Щебень]]+Таблица17[[#This Row],[Асфальт]]+Таблица17[[#This Row],[Бетон]]</f>
        <v>2.2000000000000002</v>
      </c>
      <c r="F141" s="172">
        <v>1.2</v>
      </c>
      <c r="G141" s="173">
        <v>1</v>
      </c>
      <c r="H141" s="174"/>
      <c r="I141" s="175"/>
      <c r="J141" s="176" t="s">
        <v>803</v>
      </c>
      <c r="K141" s="10" t="s">
        <v>557</v>
      </c>
      <c r="N141" s="8" t="b">
        <f>OR(Таблица17[[#This Row],[Щебень]]&gt;0,Таблица17[[#This Row],[Асфальт]]&gt;0,Таблица17[[#This Row],[Бетон]]&gt;0)</f>
        <v>1</v>
      </c>
      <c r="O141" s="8">
        <v>1</v>
      </c>
      <c r="U141" s="8">
        <f>Таблица17[[#This Row],[Бетон]]+Таблица17[[#This Row],[Асфальт]]+Таблица17[[#This Row],[Щебень]]</f>
        <v>1</v>
      </c>
      <c r="V141" s="168"/>
      <c r="Z141" s="8">
        <v>1</v>
      </c>
    </row>
    <row r="142" spans="1:26" ht="70.5" hidden="1" x14ac:dyDescent="0.35">
      <c r="A142" s="171">
        <v>141</v>
      </c>
      <c r="B142" s="171" t="s">
        <v>274</v>
      </c>
      <c r="C142" s="171" t="s">
        <v>275</v>
      </c>
      <c r="D142" s="171" t="s">
        <v>540</v>
      </c>
      <c r="E142" s="171">
        <f>Таблица17[[#This Row],[Грунт]]+Таблица17[[#This Row],[Щебень]]+Таблица17[[#This Row],[Асфальт]]+Таблица17[[#This Row],[Бетон]]</f>
        <v>1.7</v>
      </c>
      <c r="F142" s="172">
        <v>1</v>
      </c>
      <c r="G142" s="173">
        <v>0.7</v>
      </c>
      <c r="H142" s="174"/>
      <c r="I142" s="175"/>
      <c r="J142" s="176"/>
      <c r="K142" s="10" t="s">
        <v>557</v>
      </c>
      <c r="N142" s="8" t="b">
        <f>OR(Таблица17[[#This Row],[Щебень]]&gt;0,Таблица17[[#This Row],[Асфальт]]&gt;0,Таблица17[[#This Row],[Бетон]]&gt;0)</f>
        <v>1</v>
      </c>
      <c r="O142" s="8">
        <v>1</v>
      </c>
      <c r="U142" s="8">
        <f>Таблица17[[#This Row],[Бетон]]+Таблица17[[#This Row],[Асфальт]]+Таблица17[[#This Row],[Щебень]]</f>
        <v>0.7</v>
      </c>
      <c r="V142" s="168"/>
    </row>
    <row r="143" spans="1:26" ht="70.5" hidden="1" x14ac:dyDescent="0.35">
      <c r="A143" s="171">
        <v>142</v>
      </c>
      <c r="B143" s="171" t="s">
        <v>276</v>
      </c>
      <c r="C143" s="171" t="s">
        <v>277</v>
      </c>
      <c r="D143" s="171" t="s">
        <v>540</v>
      </c>
      <c r="E143" s="171">
        <f>Таблица17[[#This Row],[Грунт]]+Таблица17[[#This Row],[Щебень]]+Таблица17[[#This Row],[Асфальт]]+Таблица17[[#This Row],[Бетон]]</f>
        <v>1.7</v>
      </c>
      <c r="F143" s="172">
        <v>1.7</v>
      </c>
      <c r="G143" s="173"/>
      <c r="H143" s="174"/>
      <c r="I143" s="175"/>
      <c r="J143" s="176"/>
      <c r="K143" s="10" t="s">
        <v>557</v>
      </c>
      <c r="N143" s="8" t="b">
        <f>OR(Таблица17[[#This Row],[Щебень]]&gt;0,Таблица17[[#This Row],[Асфальт]]&gt;0,Таблица17[[#This Row],[Бетон]]&gt;0)</f>
        <v>0</v>
      </c>
      <c r="U143" s="8">
        <f>Таблица17[[#This Row],[Бетон]]+Таблица17[[#This Row],[Асфальт]]+Таблица17[[#This Row],[Щебень]]</f>
        <v>0</v>
      </c>
      <c r="V143" s="168"/>
    </row>
    <row r="144" spans="1:26" ht="70.5" hidden="1" x14ac:dyDescent="0.35">
      <c r="A144" s="171">
        <v>143</v>
      </c>
      <c r="B144" s="171" t="s">
        <v>278</v>
      </c>
      <c r="C144" s="171" t="s">
        <v>279</v>
      </c>
      <c r="D144" s="171" t="s">
        <v>540</v>
      </c>
      <c r="E144" s="171">
        <f>Таблица17[[#This Row],[Грунт]]+Таблица17[[#This Row],[Щебень]]+Таблица17[[#This Row],[Асфальт]]+Таблица17[[#This Row],[Бетон]]</f>
        <v>1.4</v>
      </c>
      <c r="F144" s="172">
        <v>1.4</v>
      </c>
      <c r="G144" s="173"/>
      <c r="H144" s="174"/>
      <c r="I144" s="175"/>
      <c r="J144" s="176"/>
      <c r="K144" s="10" t="s">
        <v>557</v>
      </c>
      <c r="N144" s="8" t="b">
        <f>OR(Таблица17[[#This Row],[Щебень]]&gt;0,Таблица17[[#This Row],[Асфальт]]&gt;0,Таблица17[[#This Row],[Бетон]]&gt;0)</f>
        <v>0</v>
      </c>
      <c r="U144" s="8">
        <f>Таблица17[[#This Row],[Бетон]]+Таблица17[[#This Row],[Асфальт]]+Таблица17[[#This Row],[Щебень]]</f>
        <v>0</v>
      </c>
      <c r="V144" s="168"/>
    </row>
    <row r="145" spans="1:25" ht="70.5" hidden="1" x14ac:dyDescent="0.35">
      <c r="A145" s="171">
        <v>144</v>
      </c>
      <c r="B145" s="171" t="s">
        <v>280</v>
      </c>
      <c r="C145" s="171" t="s">
        <v>281</v>
      </c>
      <c r="D145" s="171" t="s">
        <v>571</v>
      </c>
      <c r="E145" s="193">
        <f>Таблица17[[#This Row],[Грунт]]+Таблица17[[#This Row],[Щебень]]+Таблица17[[#This Row],[Асфальт]]+Таблица17[[#This Row],[Бетон]]</f>
        <v>6.1000000000000005</v>
      </c>
      <c r="F145" s="172">
        <v>4.2</v>
      </c>
      <c r="G145" s="173">
        <v>0.4</v>
      </c>
      <c r="H145" s="174">
        <v>0.6</v>
      </c>
      <c r="I145" s="175">
        <v>0.9</v>
      </c>
      <c r="J145" s="176"/>
      <c r="K145" s="10" t="s">
        <v>557</v>
      </c>
      <c r="N145" s="8" t="b">
        <f>OR(Таблица17[[#This Row],[Щебень]]&gt;0,Таблица17[[#This Row],[Асфальт]]&gt;0,Таблица17[[#This Row],[Бетон]]&gt;0)</f>
        <v>1</v>
      </c>
      <c r="O145" s="8">
        <v>1</v>
      </c>
      <c r="U145" s="8">
        <f>Таблица17[[#This Row],[Бетон]]+Таблица17[[#This Row],[Асфальт]]+Таблица17[[#This Row],[Щебень]]</f>
        <v>1.9</v>
      </c>
      <c r="V145" s="168"/>
      <c r="Y145" s="8">
        <v>1.9</v>
      </c>
    </row>
    <row r="146" spans="1:25" ht="70.5" hidden="1" x14ac:dyDescent="0.35">
      <c r="A146" s="171">
        <v>145</v>
      </c>
      <c r="B146" s="171" t="s">
        <v>282</v>
      </c>
      <c r="C146" s="171" t="s">
        <v>283</v>
      </c>
      <c r="D146" s="171" t="s">
        <v>571</v>
      </c>
      <c r="E146" s="193">
        <f>Таблица17[[#This Row],[Грунт]]+Таблица17[[#This Row],[Щебень]]+Таблица17[[#This Row],[Асфальт]]+Таблица17[[#This Row],[Бетон]]</f>
        <v>1.5</v>
      </c>
      <c r="F146" s="172">
        <v>1.5</v>
      </c>
      <c r="G146" s="173"/>
      <c r="H146" s="174"/>
      <c r="I146" s="175"/>
      <c r="J146" s="176"/>
      <c r="N146" s="8" t="b">
        <f>OR(Таблица17[[#This Row],[Щебень]]&gt;0,Таблица17[[#This Row],[Асфальт]]&gt;0,Таблица17[[#This Row],[Бетон]]&gt;0)</f>
        <v>0</v>
      </c>
      <c r="U146" s="8">
        <f>Таблица17[[#This Row],[Бетон]]+Таблица17[[#This Row],[Асфальт]]+Таблица17[[#This Row],[Щебень]]</f>
        <v>0</v>
      </c>
      <c r="V146" s="168"/>
    </row>
    <row r="147" spans="1:25" ht="70.5" hidden="1" x14ac:dyDescent="0.35">
      <c r="A147" s="171">
        <v>146</v>
      </c>
      <c r="B147" s="171" t="s">
        <v>284</v>
      </c>
      <c r="C147" s="171" t="s">
        <v>285</v>
      </c>
      <c r="D147" s="171" t="s">
        <v>571</v>
      </c>
      <c r="E147" s="193">
        <f>Таблица17[[#This Row],[Грунт]]+Таблица17[[#This Row],[Щебень]]+Таблица17[[#This Row],[Асфальт]]+Таблица17[[#This Row],[Бетон]]</f>
        <v>1</v>
      </c>
      <c r="F147" s="172">
        <v>1</v>
      </c>
      <c r="G147" s="173"/>
      <c r="H147" s="174"/>
      <c r="I147" s="175"/>
      <c r="J147" s="176"/>
      <c r="N147" s="8" t="b">
        <f>OR(Таблица17[[#This Row],[Щебень]]&gt;0,Таблица17[[#This Row],[Асфальт]]&gt;0,Таблица17[[#This Row],[Бетон]]&gt;0)</f>
        <v>0</v>
      </c>
      <c r="U147" s="8">
        <f>Таблица17[[#This Row],[Бетон]]+Таблица17[[#This Row],[Асфальт]]+Таблица17[[#This Row],[Щебень]]</f>
        <v>0</v>
      </c>
      <c r="V147" s="168"/>
    </row>
    <row r="148" spans="1:25" ht="70.5" hidden="1" x14ac:dyDescent="0.35">
      <c r="A148" s="171">
        <v>147</v>
      </c>
      <c r="B148" s="171" t="s">
        <v>286</v>
      </c>
      <c r="C148" s="171" t="s">
        <v>287</v>
      </c>
      <c r="D148" s="171" t="s">
        <v>571</v>
      </c>
      <c r="E148" s="193">
        <f>Таблица17[[#This Row],[Грунт]]+Таблица17[[#This Row],[Щебень]]+Таблица17[[#This Row],[Асфальт]]+Таблица17[[#This Row],[Бетон]]</f>
        <v>0.8</v>
      </c>
      <c r="F148" s="172">
        <v>0.8</v>
      </c>
      <c r="G148" s="173"/>
      <c r="H148" s="174"/>
      <c r="I148" s="175"/>
      <c r="J148" s="176"/>
      <c r="N148" s="8" t="b">
        <f>OR(Таблица17[[#This Row],[Щебень]]&gt;0,Таблица17[[#This Row],[Асфальт]]&gt;0,Таблица17[[#This Row],[Бетон]]&gt;0)</f>
        <v>0</v>
      </c>
      <c r="U148" s="8">
        <f>Таблица17[[#This Row],[Бетон]]+Таблица17[[#This Row],[Асфальт]]+Таблица17[[#This Row],[Щебень]]</f>
        <v>0</v>
      </c>
      <c r="V148" s="168"/>
    </row>
    <row r="149" spans="1:25" ht="70.5" hidden="1" x14ac:dyDescent="0.35">
      <c r="A149" s="171">
        <v>148</v>
      </c>
      <c r="B149" s="171" t="s">
        <v>288</v>
      </c>
      <c r="C149" s="171" t="s">
        <v>289</v>
      </c>
      <c r="D149" s="171" t="s">
        <v>571</v>
      </c>
      <c r="E149" s="193">
        <f>Таблица17[[#This Row],[Грунт]]+Таблица17[[#This Row],[Щебень]]+Таблица17[[#This Row],[Асфальт]]+Таблица17[[#This Row],[Бетон]]</f>
        <v>0.5</v>
      </c>
      <c r="F149" s="172">
        <v>0.5</v>
      </c>
      <c r="G149" s="173"/>
      <c r="H149" s="174"/>
      <c r="I149" s="175"/>
      <c r="J149" s="176"/>
      <c r="N149" s="8" t="b">
        <f>OR(Таблица17[[#This Row],[Щебень]]&gt;0,Таблица17[[#This Row],[Асфальт]]&gt;0,Таблица17[[#This Row],[Бетон]]&gt;0)</f>
        <v>0</v>
      </c>
      <c r="U149" s="8">
        <f>Таблица17[[#This Row],[Бетон]]+Таблица17[[#This Row],[Асфальт]]+Таблица17[[#This Row],[Щебень]]</f>
        <v>0</v>
      </c>
      <c r="V149" s="168"/>
    </row>
    <row r="150" spans="1:25" ht="70.5" hidden="1" x14ac:dyDescent="0.35">
      <c r="A150" s="171">
        <v>149</v>
      </c>
      <c r="B150" s="171" t="s">
        <v>290</v>
      </c>
      <c r="C150" s="171" t="s">
        <v>291</v>
      </c>
      <c r="D150" s="171" t="s">
        <v>571</v>
      </c>
      <c r="E150" s="193">
        <f>Таблица17[[#This Row],[Грунт]]+Таблица17[[#This Row],[Щебень]]+Таблица17[[#This Row],[Асфальт]]+Таблица17[[#This Row],[Бетон]]</f>
        <v>0.7</v>
      </c>
      <c r="F150" s="172">
        <v>0.7</v>
      </c>
      <c r="G150" s="173"/>
      <c r="H150" s="174"/>
      <c r="I150" s="175"/>
      <c r="J150" s="176"/>
      <c r="N150" s="8" t="b">
        <f>OR(Таблица17[[#This Row],[Щебень]]&gt;0,Таблица17[[#This Row],[Асфальт]]&gt;0,Таблица17[[#This Row],[Бетон]]&gt;0)</f>
        <v>0</v>
      </c>
      <c r="U150" s="8">
        <f>Таблица17[[#This Row],[Бетон]]+Таблица17[[#This Row],[Асфальт]]+Таблица17[[#This Row],[Щебень]]</f>
        <v>0</v>
      </c>
      <c r="V150" s="168"/>
    </row>
    <row r="151" spans="1:25" ht="70.5" hidden="1" x14ac:dyDescent="0.35">
      <c r="A151" s="171">
        <v>150</v>
      </c>
      <c r="B151" s="171" t="s">
        <v>292</v>
      </c>
      <c r="C151" s="171" t="s">
        <v>293</v>
      </c>
      <c r="D151" s="171" t="s">
        <v>571</v>
      </c>
      <c r="E151" s="193">
        <f>Таблица17[[#This Row],[Грунт]]+Таблица17[[#This Row],[Щебень]]+Таблица17[[#This Row],[Асфальт]]+Таблица17[[#This Row],[Бетон]]</f>
        <v>1</v>
      </c>
      <c r="F151" s="172">
        <v>1</v>
      </c>
      <c r="G151" s="173"/>
      <c r="H151" s="174"/>
      <c r="I151" s="175"/>
      <c r="J151" s="176"/>
      <c r="N151" s="8" t="b">
        <f>OR(Таблица17[[#This Row],[Щебень]]&gt;0,Таблица17[[#This Row],[Асфальт]]&gt;0,Таблица17[[#This Row],[Бетон]]&gt;0)</f>
        <v>0</v>
      </c>
      <c r="U151" s="8">
        <f>Таблица17[[#This Row],[Бетон]]+Таблица17[[#This Row],[Асфальт]]+Таблица17[[#This Row],[Щебень]]</f>
        <v>0</v>
      </c>
      <c r="V151" s="168"/>
    </row>
    <row r="152" spans="1:25" ht="70.5" hidden="1" x14ac:dyDescent="0.35">
      <c r="A152" s="171">
        <v>151</v>
      </c>
      <c r="B152" s="171" t="s">
        <v>294</v>
      </c>
      <c r="C152" s="171" t="s">
        <v>295</v>
      </c>
      <c r="D152" s="171" t="s">
        <v>571</v>
      </c>
      <c r="E152" s="193">
        <f>Таблица17[[#This Row],[Грунт]]+Таблица17[[#This Row],[Щебень]]+Таблица17[[#This Row],[Асфальт]]+Таблица17[[#This Row],[Бетон]]</f>
        <v>1.5</v>
      </c>
      <c r="F152" s="172">
        <v>1.5</v>
      </c>
      <c r="G152" s="173"/>
      <c r="H152" s="174"/>
      <c r="I152" s="175"/>
      <c r="J152" s="176"/>
      <c r="N152" s="8" t="b">
        <f>OR(Таблица17[[#This Row],[Щебень]]&gt;0,Таблица17[[#This Row],[Асфальт]]&gt;0,Таблица17[[#This Row],[Бетон]]&gt;0)</f>
        <v>0</v>
      </c>
      <c r="U152" s="8">
        <f>Таблица17[[#This Row],[Бетон]]+Таблица17[[#This Row],[Асфальт]]+Таблица17[[#This Row],[Щебень]]</f>
        <v>0</v>
      </c>
      <c r="V152" s="168"/>
    </row>
    <row r="153" spans="1:25" ht="70.5" hidden="1" x14ac:dyDescent="0.35">
      <c r="A153" s="171">
        <v>152</v>
      </c>
      <c r="B153" s="171" t="s">
        <v>296</v>
      </c>
      <c r="C153" s="171" t="s">
        <v>297</v>
      </c>
      <c r="D153" s="171" t="s">
        <v>571</v>
      </c>
      <c r="E153" s="193">
        <f>Таблица17[[#This Row],[Грунт]]+Таблица17[[#This Row],[Щебень]]+Таблица17[[#This Row],[Асфальт]]+Таблица17[[#This Row],[Бетон]]</f>
        <v>0.8</v>
      </c>
      <c r="F153" s="172">
        <v>0.8</v>
      </c>
      <c r="G153" s="173"/>
      <c r="H153" s="174"/>
      <c r="I153" s="175"/>
      <c r="J153" s="176"/>
      <c r="N153" s="8" t="b">
        <f>OR(Таблица17[[#This Row],[Щебень]]&gt;0,Таблица17[[#This Row],[Асфальт]]&gt;0,Таблица17[[#This Row],[Бетон]]&gt;0)</f>
        <v>0</v>
      </c>
      <c r="U153" s="8">
        <f>Таблица17[[#This Row],[Бетон]]+Таблица17[[#This Row],[Асфальт]]+Таблица17[[#This Row],[Щебень]]</f>
        <v>0</v>
      </c>
      <c r="V153" s="168"/>
    </row>
    <row r="154" spans="1:25" ht="70.5" hidden="1" x14ac:dyDescent="0.35">
      <c r="A154" s="171">
        <v>153</v>
      </c>
      <c r="B154" s="171" t="s">
        <v>298</v>
      </c>
      <c r="C154" s="171" t="s">
        <v>299</v>
      </c>
      <c r="D154" s="171" t="s">
        <v>571</v>
      </c>
      <c r="E154" s="193">
        <f>Таблица17[[#This Row],[Грунт]]+Таблица17[[#This Row],[Щебень]]+Таблица17[[#This Row],[Асфальт]]+Таблица17[[#This Row],[Бетон]]</f>
        <v>0.5</v>
      </c>
      <c r="F154" s="172">
        <v>0.5</v>
      </c>
      <c r="G154" s="173"/>
      <c r="H154" s="174"/>
      <c r="I154" s="175"/>
      <c r="J154" s="176"/>
      <c r="N154" s="8" t="b">
        <f>OR(Таблица17[[#This Row],[Щебень]]&gt;0,Таблица17[[#This Row],[Асфальт]]&gt;0,Таблица17[[#This Row],[Бетон]]&gt;0)</f>
        <v>0</v>
      </c>
      <c r="U154" s="8">
        <f>Таблица17[[#This Row],[Бетон]]+Таблица17[[#This Row],[Асфальт]]+Таблица17[[#This Row],[Щебень]]</f>
        <v>0</v>
      </c>
      <c r="V154" s="168"/>
    </row>
    <row r="155" spans="1:25" ht="70.5" hidden="1" x14ac:dyDescent="0.35">
      <c r="A155" s="171">
        <v>154</v>
      </c>
      <c r="B155" s="171" t="s">
        <v>300</v>
      </c>
      <c r="C155" s="171" t="s">
        <v>301</v>
      </c>
      <c r="D155" s="171" t="s">
        <v>571</v>
      </c>
      <c r="E155" s="193">
        <f>Таблица17[[#This Row],[Грунт]]+Таблица17[[#This Row],[Щебень]]+Таблица17[[#This Row],[Асфальт]]+Таблица17[[#This Row],[Бетон]]</f>
        <v>1.5</v>
      </c>
      <c r="F155" s="172">
        <v>1.5</v>
      </c>
      <c r="G155" s="173"/>
      <c r="H155" s="174"/>
      <c r="I155" s="175"/>
      <c r="J155" s="176"/>
      <c r="N155" s="8" t="b">
        <f>OR(Таблица17[[#This Row],[Щебень]]&gt;0,Таблица17[[#This Row],[Асфальт]]&gt;0,Таблица17[[#This Row],[Бетон]]&gt;0)</f>
        <v>0</v>
      </c>
      <c r="U155" s="8">
        <f>Таблица17[[#This Row],[Бетон]]+Таблица17[[#This Row],[Асфальт]]+Таблица17[[#This Row],[Щебень]]</f>
        <v>0</v>
      </c>
      <c r="V155" s="168"/>
    </row>
    <row r="156" spans="1:25" ht="70.5" hidden="1" x14ac:dyDescent="0.35">
      <c r="A156" s="171">
        <v>155</v>
      </c>
      <c r="B156" s="171" t="s">
        <v>302</v>
      </c>
      <c r="C156" s="171" t="s">
        <v>303</v>
      </c>
      <c r="D156" s="171" t="s">
        <v>571</v>
      </c>
      <c r="E156" s="193">
        <f>Таблица17[[#This Row],[Грунт]]+Таблица17[[#This Row],[Щебень]]+Таблица17[[#This Row],[Асфальт]]+Таблица17[[#This Row],[Бетон]]</f>
        <v>0.7</v>
      </c>
      <c r="F156" s="172">
        <v>0.7</v>
      </c>
      <c r="G156" s="173"/>
      <c r="H156" s="174"/>
      <c r="I156" s="175"/>
      <c r="J156" s="176"/>
      <c r="N156" s="8" t="b">
        <f>OR(Таблица17[[#This Row],[Щебень]]&gt;0,Таблица17[[#This Row],[Асфальт]]&gt;0,Таблица17[[#This Row],[Бетон]]&gt;0)</f>
        <v>0</v>
      </c>
      <c r="U156" s="8">
        <f>Таблица17[[#This Row],[Бетон]]+Таблица17[[#This Row],[Асфальт]]+Таблица17[[#This Row],[Щебень]]</f>
        <v>0</v>
      </c>
      <c r="V156" s="168"/>
    </row>
    <row r="157" spans="1:25" ht="70.5" hidden="1" x14ac:dyDescent="0.35">
      <c r="A157" s="171">
        <v>156</v>
      </c>
      <c r="B157" s="171" t="s">
        <v>304</v>
      </c>
      <c r="C157" s="171" t="s">
        <v>305</v>
      </c>
      <c r="D157" s="171" t="s">
        <v>571</v>
      </c>
      <c r="E157" s="193">
        <f>Таблица17[[#This Row],[Грунт]]+Таблица17[[#This Row],[Щебень]]+Таблица17[[#This Row],[Асфальт]]+Таблица17[[#This Row],[Бетон]]</f>
        <v>0.5</v>
      </c>
      <c r="F157" s="172">
        <v>0.5</v>
      </c>
      <c r="G157" s="173"/>
      <c r="H157" s="174"/>
      <c r="I157" s="175"/>
      <c r="J157" s="176"/>
      <c r="N157" s="8" t="b">
        <f>OR(Таблица17[[#This Row],[Щебень]]&gt;0,Таблица17[[#This Row],[Асфальт]]&gt;0,Таблица17[[#This Row],[Бетон]]&gt;0)</f>
        <v>0</v>
      </c>
      <c r="U157" s="8">
        <f>Таблица17[[#This Row],[Бетон]]+Таблица17[[#This Row],[Асфальт]]+Таблица17[[#This Row],[Щебень]]</f>
        <v>0</v>
      </c>
      <c r="V157" s="168"/>
    </row>
    <row r="158" spans="1:25" ht="70.5" hidden="1" x14ac:dyDescent="0.35">
      <c r="A158" s="171">
        <v>157</v>
      </c>
      <c r="B158" s="171" t="s">
        <v>306</v>
      </c>
      <c r="C158" s="171" t="s">
        <v>307</v>
      </c>
      <c r="D158" s="171" t="s">
        <v>571</v>
      </c>
      <c r="E158" s="193">
        <f>Таблица17[[#This Row],[Грунт]]+Таблица17[[#This Row],[Щебень]]+Таблица17[[#This Row],[Асфальт]]+Таблица17[[#This Row],[Бетон]]</f>
        <v>0.4</v>
      </c>
      <c r="F158" s="172">
        <v>0.4</v>
      </c>
      <c r="G158" s="173"/>
      <c r="H158" s="174"/>
      <c r="I158" s="175"/>
      <c r="J158" s="176"/>
      <c r="N158" s="8" t="b">
        <f>OR(Таблица17[[#This Row],[Щебень]]&gt;0,Таблица17[[#This Row],[Асфальт]]&gt;0,Таблица17[[#This Row],[Бетон]]&gt;0)</f>
        <v>0</v>
      </c>
      <c r="U158" s="8">
        <f>Таблица17[[#This Row],[Бетон]]+Таблица17[[#This Row],[Асфальт]]+Таблица17[[#This Row],[Щебень]]</f>
        <v>0</v>
      </c>
      <c r="V158" s="168"/>
    </row>
    <row r="159" spans="1:25" ht="105.75" x14ac:dyDescent="0.35">
      <c r="A159" s="171">
        <v>158</v>
      </c>
      <c r="B159" s="171" t="s">
        <v>308</v>
      </c>
      <c r="C159" s="171" t="s">
        <v>309</v>
      </c>
      <c r="D159" s="171" t="s">
        <v>542</v>
      </c>
      <c r="E159" s="171">
        <f>Таблица17[[#This Row],[Грунт]]+Таблица17[[#This Row],[Щебень]]+Таблица17[[#This Row],[Асфальт]]+Таблица17[[#This Row],[Бетон]]</f>
        <v>0.65</v>
      </c>
      <c r="F159" s="172"/>
      <c r="G159" s="173"/>
      <c r="H159" s="174">
        <v>0.65</v>
      </c>
      <c r="I159" s="175"/>
      <c r="J159" s="176" t="s">
        <v>803</v>
      </c>
      <c r="N159" s="8" t="b">
        <f>OR(Таблица17[[#This Row],[Щебень]]&gt;0,Таблица17[[#This Row],[Асфальт]]&gt;0,Таблица17[[#This Row],[Бетон]]&gt;0)</f>
        <v>1</v>
      </c>
      <c r="O159" s="8">
        <v>1</v>
      </c>
      <c r="U159" s="8">
        <f>Таблица17[[#This Row],[Бетон]]+Таблица17[[#This Row],[Асфальт]]+Таблица17[[#This Row],[Щебень]]</f>
        <v>0.65</v>
      </c>
      <c r="V159" s="168"/>
      <c r="Y159" s="8">
        <v>0.65</v>
      </c>
    </row>
    <row r="160" spans="1:25" ht="105.75" x14ac:dyDescent="0.35">
      <c r="A160" s="171">
        <v>159</v>
      </c>
      <c r="B160" s="171" t="s">
        <v>310</v>
      </c>
      <c r="C160" s="171" t="s">
        <v>311</v>
      </c>
      <c r="D160" s="171" t="s">
        <v>542</v>
      </c>
      <c r="E160" s="171">
        <f>Таблица17[[#This Row],[Грунт]]+Таблица17[[#This Row],[Щебень]]+Таблица17[[#This Row],[Асфальт]]+Таблица17[[#This Row],[Бетон]]</f>
        <v>0.8</v>
      </c>
      <c r="F160" s="172"/>
      <c r="G160" s="173"/>
      <c r="H160" s="174">
        <v>0.8</v>
      </c>
      <c r="I160" s="175"/>
      <c r="J160" s="176" t="s">
        <v>803</v>
      </c>
      <c r="N160" s="8" t="b">
        <f>OR(Таблица17[[#This Row],[Щебень]]&gt;0,Таблица17[[#This Row],[Асфальт]]&gt;0,Таблица17[[#This Row],[Бетон]]&gt;0)</f>
        <v>1</v>
      </c>
      <c r="O160" s="8">
        <v>1</v>
      </c>
      <c r="U160" s="8">
        <f>Таблица17[[#This Row],[Бетон]]+Таблица17[[#This Row],[Асфальт]]+Таблица17[[#This Row],[Щебень]]</f>
        <v>0.8</v>
      </c>
      <c r="V160" s="168"/>
      <c r="Y160" s="8">
        <v>0.8</v>
      </c>
    </row>
    <row r="161" spans="1:26" ht="105.75" x14ac:dyDescent="0.35">
      <c r="A161" s="171">
        <v>160</v>
      </c>
      <c r="B161" s="171" t="s">
        <v>312</v>
      </c>
      <c r="C161" s="171" t="s">
        <v>313</v>
      </c>
      <c r="D161" s="171" t="s">
        <v>542</v>
      </c>
      <c r="E161" s="171">
        <f>Таблица17[[#This Row],[Грунт]]+Таблица17[[#This Row],[Щебень]]+Таблица17[[#This Row],[Асфальт]]+Таблица17[[#This Row],[Бетон]]</f>
        <v>1.8</v>
      </c>
      <c r="F161" s="172"/>
      <c r="G161" s="173"/>
      <c r="H161" s="174">
        <v>1.8</v>
      </c>
      <c r="I161" s="175"/>
      <c r="J161" s="176" t="s">
        <v>803</v>
      </c>
      <c r="N161" s="8" t="b">
        <f>OR(Таблица17[[#This Row],[Щебень]]&gt;0,Таблица17[[#This Row],[Асфальт]]&gt;0,Таблица17[[#This Row],[Бетон]]&gt;0)</f>
        <v>1</v>
      </c>
      <c r="O161" s="8">
        <v>1</v>
      </c>
      <c r="U161" s="8">
        <f>Таблица17[[#This Row],[Бетон]]+Таблица17[[#This Row],[Асфальт]]+Таблица17[[#This Row],[Щебень]]</f>
        <v>1.8</v>
      </c>
      <c r="V161" s="168"/>
      <c r="Y161" s="8">
        <v>1.8</v>
      </c>
    </row>
    <row r="162" spans="1:26" ht="105.75" x14ac:dyDescent="0.35">
      <c r="A162" s="171">
        <v>161</v>
      </c>
      <c r="B162" s="171" t="s">
        <v>314</v>
      </c>
      <c r="C162" s="171" t="s">
        <v>315</v>
      </c>
      <c r="D162" s="171" t="s">
        <v>542</v>
      </c>
      <c r="E162" s="171">
        <f>Таблица17[[#This Row],[Грунт]]+Таблица17[[#This Row],[Щебень]]+Таблица17[[#This Row],[Асфальт]]+Таблица17[[#This Row],[Бетон]]</f>
        <v>0.55000000000000004</v>
      </c>
      <c r="F162" s="172"/>
      <c r="G162" s="173"/>
      <c r="H162" s="174">
        <v>0.55000000000000004</v>
      </c>
      <c r="I162" s="175"/>
      <c r="J162" s="176" t="s">
        <v>803</v>
      </c>
      <c r="N162" s="8" t="b">
        <f>OR(Таблица17[[#This Row],[Щебень]]&gt;0,Таблица17[[#This Row],[Асфальт]]&gt;0,Таблица17[[#This Row],[Бетон]]&gt;0)</f>
        <v>1</v>
      </c>
      <c r="O162" s="8">
        <v>1</v>
      </c>
      <c r="U162" s="8">
        <f>Таблица17[[#This Row],[Бетон]]+Таблица17[[#This Row],[Асфальт]]+Таблица17[[#This Row],[Щебень]]</f>
        <v>0.55000000000000004</v>
      </c>
      <c r="V162" s="168"/>
      <c r="Y162" s="8">
        <v>0.55000000000000004</v>
      </c>
    </row>
    <row r="163" spans="1:26" ht="70.5" x14ac:dyDescent="0.35">
      <c r="A163" s="171">
        <v>162</v>
      </c>
      <c r="B163" s="171" t="s">
        <v>316</v>
      </c>
      <c r="C163" s="171" t="s">
        <v>317</v>
      </c>
      <c r="D163" s="171" t="s">
        <v>542</v>
      </c>
      <c r="E163" s="171">
        <f>Таблица17[[#This Row],[Грунт]]+Таблица17[[#This Row],[Щебень]]+Таблица17[[#This Row],[Асфальт]]+Таблица17[[#This Row],[Бетон]]</f>
        <v>1.3</v>
      </c>
      <c r="F163" s="172">
        <v>1.3</v>
      </c>
      <c r="G163" s="173"/>
      <c r="H163" s="174"/>
      <c r="I163" s="175"/>
      <c r="J163" s="176" t="s">
        <v>803</v>
      </c>
      <c r="N163" s="8" t="b">
        <f>OR(Таблица17[[#This Row],[Щебень]]&gt;0,Таблица17[[#This Row],[Асфальт]]&gt;0,Таблица17[[#This Row],[Бетон]]&gt;0)</f>
        <v>0</v>
      </c>
      <c r="U163" s="8">
        <f>Таблица17[[#This Row],[Бетон]]+Таблица17[[#This Row],[Асфальт]]+Таблица17[[#This Row],[Щебень]]</f>
        <v>0</v>
      </c>
      <c r="V163" s="168"/>
    </row>
    <row r="164" spans="1:26" ht="70.5" x14ac:dyDescent="0.35">
      <c r="A164" s="171">
        <v>163</v>
      </c>
      <c r="B164" s="171" t="s">
        <v>318</v>
      </c>
      <c r="C164" s="171" t="s">
        <v>319</v>
      </c>
      <c r="D164" s="171" t="s">
        <v>542</v>
      </c>
      <c r="E164" s="171">
        <f>Таблица17[[#This Row],[Грунт]]+Таблица17[[#This Row],[Щебень]]+Таблица17[[#This Row],[Асфальт]]+Таблица17[[#This Row],[Бетон]]</f>
        <v>0.5</v>
      </c>
      <c r="F164" s="172">
        <v>0.5</v>
      </c>
      <c r="G164" s="173"/>
      <c r="H164" s="174"/>
      <c r="I164" s="175"/>
      <c r="J164" s="176" t="s">
        <v>803</v>
      </c>
      <c r="N164" s="8" t="b">
        <f>OR(Таблица17[[#This Row],[Щебень]]&gt;0,Таблица17[[#This Row],[Асфальт]]&gt;0,Таблица17[[#This Row],[Бетон]]&gt;0)</f>
        <v>0</v>
      </c>
      <c r="U164" s="8">
        <f>Таблица17[[#This Row],[Бетон]]+Таблица17[[#This Row],[Асфальт]]+Таблица17[[#This Row],[Щебень]]</f>
        <v>0</v>
      </c>
      <c r="V164" s="168"/>
    </row>
    <row r="165" spans="1:26" ht="70.5" x14ac:dyDescent="0.35">
      <c r="A165" s="171">
        <v>164</v>
      </c>
      <c r="B165" s="171" t="s">
        <v>320</v>
      </c>
      <c r="C165" s="171" t="s">
        <v>321</v>
      </c>
      <c r="D165" s="171" t="s">
        <v>542</v>
      </c>
      <c r="E165" s="171">
        <f>Таблица17[[#This Row],[Грунт]]+Таблица17[[#This Row],[Щебень]]+Таблица17[[#This Row],[Асфальт]]+Таблица17[[#This Row],[Бетон]]</f>
        <v>5.2</v>
      </c>
      <c r="F165" s="172">
        <v>3.7</v>
      </c>
      <c r="G165" s="173"/>
      <c r="H165" s="174">
        <v>1.5</v>
      </c>
      <c r="I165" s="175"/>
      <c r="J165" s="176" t="s">
        <v>803</v>
      </c>
      <c r="N165" s="8" t="b">
        <f>OR(Таблица17[[#This Row],[Щебень]]&gt;0,Таблица17[[#This Row],[Асфальт]]&gt;0,Таблица17[[#This Row],[Бетон]]&gt;0)</f>
        <v>1</v>
      </c>
      <c r="O165" s="8">
        <v>1</v>
      </c>
      <c r="U165" s="8">
        <f>Таблица17[[#This Row],[Бетон]]+Таблица17[[#This Row],[Асфальт]]+Таблица17[[#This Row],[Щебень]]</f>
        <v>1.5</v>
      </c>
      <c r="V165" s="168"/>
      <c r="Y165" s="8">
        <v>1.5</v>
      </c>
    </row>
    <row r="166" spans="1:26" ht="70.5" hidden="1" x14ac:dyDescent="0.35">
      <c r="A166" s="171">
        <v>165</v>
      </c>
      <c r="B166" s="171" t="s">
        <v>322</v>
      </c>
      <c r="C166" s="171" t="s">
        <v>323</v>
      </c>
      <c r="D166" s="171" t="s">
        <v>542</v>
      </c>
      <c r="E166" s="171">
        <f>Таблица17[[#This Row],[Грунт]]+Таблица17[[#This Row],[Щебень]]+Таблица17[[#This Row],[Асфальт]]+Таблица17[[#This Row],[Бетон]]</f>
        <v>2.4</v>
      </c>
      <c r="F166" s="172">
        <v>0.4</v>
      </c>
      <c r="G166" s="173">
        <v>2</v>
      </c>
      <c r="H166" s="174"/>
      <c r="I166" s="175"/>
      <c r="J166" s="176"/>
      <c r="N166" s="8" t="b">
        <f>OR(Таблица17[[#This Row],[Щебень]]&gt;0,Таблица17[[#This Row],[Асфальт]]&gt;0,Таблица17[[#This Row],[Бетон]]&gt;0)</f>
        <v>1</v>
      </c>
      <c r="O166" s="8">
        <v>1</v>
      </c>
      <c r="U166" s="8">
        <f>Таблица17[[#This Row],[Бетон]]+Таблица17[[#This Row],[Асфальт]]+Таблица17[[#This Row],[Щебень]]</f>
        <v>2</v>
      </c>
      <c r="V166" s="168"/>
    </row>
    <row r="167" spans="1:26" ht="70.5" hidden="1" x14ac:dyDescent="0.35">
      <c r="A167" s="171">
        <v>166</v>
      </c>
      <c r="B167" s="171" t="s">
        <v>324</v>
      </c>
      <c r="C167" s="171" t="s">
        <v>325</v>
      </c>
      <c r="D167" s="171" t="s">
        <v>542</v>
      </c>
      <c r="E167" s="171">
        <f>Таблица17[[#This Row],[Грунт]]+Таблица17[[#This Row],[Щебень]]+Таблица17[[#This Row],[Асфальт]]+Таблица17[[#This Row],[Бетон]]</f>
        <v>0.95</v>
      </c>
      <c r="F167" s="172">
        <v>0.95</v>
      </c>
      <c r="G167" s="173"/>
      <c r="H167" s="174"/>
      <c r="I167" s="175"/>
      <c r="J167" s="176"/>
      <c r="N167" s="8" t="b">
        <f>OR(Таблица17[[#This Row],[Щебень]]&gt;0,Таблица17[[#This Row],[Асфальт]]&gt;0,Таблица17[[#This Row],[Бетон]]&gt;0)</f>
        <v>0</v>
      </c>
      <c r="U167" s="8">
        <f>Таблица17[[#This Row],[Бетон]]+Таблица17[[#This Row],[Асфальт]]+Таблица17[[#This Row],[Щебень]]</f>
        <v>0</v>
      </c>
      <c r="V167" s="168"/>
    </row>
    <row r="168" spans="1:26" ht="70.5" hidden="1" x14ac:dyDescent="0.35">
      <c r="A168" s="171">
        <v>167</v>
      </c>
      <c r="B168" s="171" t="s">
        <v>326</v>
      </c>
      <c r="C168" s="171" t="s">
        <v>327</v>
      </c>
      <c r="D168" s="171" t="s">
        <v>542</v>
      </c>
      <c r="E168" s="171">
        <f>Таблица17[[#This Row],[Грунт]]+Таблица17[[#This Row],[Щебень]]+Таблица17[[#This Row],[Асфальт]]+Таблица17[[#This Row],[Бетон]]</f>
        <v>1.1000000000000001</v>
      </c>
      <c r="F168" s="172">
        <v>1.1000000000000001</v>
      </c>
      <c r="G168" s="173"/>
      <c r="H168" s="174"/>
      <c r="I168" s="175"/>
      <c r="J168" s="176"/>
      <c r="N168" s="8" t="b">
        <f>OR(Таблица17[[#This Row],[Щебень]]&gt;0,Таблица17[[#This Row],[Асфальт]]&gt;0,Таблица17[[#This Row],[Бетон]]&gt;0)</f>
        <v>0</v>
      </c>
      <c r="U168" s="8">
        <f>Таблица17[[#This Row],[Бетон]]+Таблица17[[#This Row],[Асфальт]]+Таблица17[[#This Row],[Щебень]]</f>
        <v>0</v>
      </c>
      <c r="V168" s="168"/>
    </row>
    <row r="169" spans="1:26" ht="70.5" hidden="1" x14ac:dyDescent="0.35">
      <c r="A169" s="171">
        <v>168</v>
      </c>
      <c r="B169" s="171" t="s">
        <v>328</v>
      </c>
      <c r="C169" s="171" t="s">
        <v>329</v>
      </c>
      <c r="D169" s="171" t="s">
        <v>542</v>
      </c>
      <c r="E169" s="171">
        <f>Таблица17[[#This Row],[Грунт]]+Таблица17[[#This Row],[Щебень]]+Таблица17[[#This Row],[Асфальт]]+Таблица17[[#This Row],[Бетон]]</f>
        <v>0.5</v>
      </c>
      <c r="F169" s="172">
        <v>0.5</v>
      </c>
      <c r="G169" s="173"/>
      <c r="H169" s="174"/>
      <c r="I169" s="175"/>
      <c r="J169" s="176"/>
      <c r="N169" s="8" t="b">
        <f>OR(Таблица17[[#This Row],[Щебень]]&gt;0,Таблица17[[#This Row],[Асфальт]]&gt;0,Таблица17[[#This Row],[Бетон]]&gt;0)</f>
        <v>0</v>
      </c>
      <c r="U169" s="8">
        <f>Таблица17[[#This Row],[Бетон]]+Таблица17[[#This Row],[Асфальт]]+Таблица17[[#This Row],[Щебень]]</f>
        <v>0</v>
      </c>
      <c r="V169" s="168"/>
    </row>
    <row r="170" spans="1:26" ht="70.5" hidden="1" x14ac:dyDescent="0.35">
      <c r="A170" s="171">
        <v>169</v>
      </c>
      <c r="B170" s="171" t="s">
        <v>330</v>
      </c>
      <c r="C170" s="171" t="s">
        <v>331</v>
      </c>
      <c r="D170" s="171" t="s">
        <v>542</v>
      </c>
      <c r="E170" s="171">
        <f>Таблица17[[#This Row],[Грунт]]+Таблица17[[#This Row],[Щебень]]+Таблица17[[#This Row],[Асфальт]]+Таблица17[[#This Row],[Бетон]]</f>
        <v>1.2</v>
      </c>
      <c r="F170" s="172">
        <v>1</v>
      </c>
      <c r="G170" s="173"/>
      <c r="H170" s="174">
        <v>0.2</v>
      </c>
      <c r="I170" s="175"/>
      <c r="J170" s="176"/>
      <c r="N170" s="8" t="b">
        <f>OR(Таблица17[[#This Row],[Щебень]]&gt;0,Таблица17[[#This Row],[Асфальт]]&gt;0,Таблица17[[#This Row],[Бетон]]&gt;0)</f>
        <v>1</v>
      </c>
      <c r="O170" s="8">
        <v>1</v>
      </c>
      <c r="U170" s="8">
        <f>Таблица17[[#This Row],[Бетон]]+Таблица17[[#This Row],[Асфальт]]+Таблица17[[#This Row],[Щебень]]</f>
        <v>0.2</v>
      </c>
      <c r="V170" s="168"/>
    </row>
    <row r="171" spans="1:26" ht="70.5" x14ac:dyDescent="0.35">
      <c r="A171" s="171">
        <v>170</v>
      </c>
      <c r="B171" s="171" t="s">
        <v>332</v>
      </c>
      <c r="C171" s="171" t="s">
        <v>333</v>
      </c>
      <c r="D171" s="171" t="s">
        <v>542</v>
      </c>
      <c r="E171" s="171">
        <f>Таблица17[[#This Row],[Грунт]]+Таблица17[[#This Row],[Щебень]]+Таблица17[[#This Row],[Асфальт]]+Таблица17[[#This Row],[Бетон]]</f>
        <v>0.6</v>
      </c>
      <c r="F171" s="172"/>
      <c r="G171" s="173">
        <v>0.6</v>
      </c>
      <c r="H171" s="174"/>
      <c r="I171" s="175"/>
      <c r="J171" s="176" t="s">
        <v>801</v>
      </c>
      <c r="N171" s="8" t="b">
        <f>OR(Таблица17[[#This Row],[Щебень]]&gt;0,Таблица17[[#This Row],[Асфальт]]&gt;0,Таблица17[[#This Row],[Бетон]]&gt;0)</f>
        <v>1</v>
      </c>
      <c r="O171" s="8">
        <v>1</v>
      </c>
      <c r="U171" s="8">
        <f>Таблица17[[#This Row],[Бетон]]+Таблица17[[#This Row],[Асфальт]]+Таблица17[[#This Row],[Щебень]]</f>
        <v>0.6</v>
      </c>
      <c r="V171" s="168"/>
      <c r="Z171" s="8">
        <v>0.6</v>
      </c>
    </row>
    <row r="172" spans="1:26" ht="70.5" hidden="1" x14ac:dyDescent="0.35">
      <c r="A172" s="194">
        <v>171</v>
      </c>
      <c r="B172" s="194" t="s">
        <v>334</v>
      </c>
      <c r="C172" s="194" t="s">
        <v>335</v>
      </c>
      <c r="D172" s="194" t="s">
        <v>543</v>
      </c>
      <c r="E172" s="194">
        <f>Таблица17[[#This Row],[Грунт]]+Таблица17[[#This Row],[Щебень]]+Таблица17[[#This Row],[Асфальт]]+Таблица17[[#This Row],[Бетон]]</f>
        <v>2</v>
      </c>
      <c r="F172" s="195">
        <v>0.2</v>
      </c>
      <c r="G172" s="173">
        <v>0.3</v>
      </c>
      <c r="H172" s="174">
        <v>1</v>
      </c>
      <c r="I172" s="175">
        <v>0.5</v>
      </c>
      <c r="J172" s="176"/>
      <c r="K172" s="10" t="s">
        <v>557</v>
      </c>
      <c r="N172" s="8" t="b">
        <f>OR(Таблица17[[#This Row],[Щебень]]&gt;0,Таблица17[[#This Row],[Асфальт]]&gt;0,Таблица17[[#This Row],[Бетон]]&gt;0)</f>
        <v>1</v>
      </c>
      <c r="O172" s="8">
        <v>1</v>
      </c>
      <c r="P172" s="8">
        <v>1.7</v>
      </c>
      <c r="U172" s="8">
        <f>Таблица17[[#This Row],[Бетон]]+Таблица17[[#This Row],[Асфальт]]+Таблица17[[#This Row],[Щебень]]</f>
        <v>1.8</v>
      </c>
      <c r="V172" s="168"/>
    </row>
    <row r="173" spans="1:26" ht="70.5" hidden="1" x14ac:dyDescent="0.35">
      <c r="A173" s="171">
        <v>172</v>
      </c>
      <c r="B173" s="171" t="s">
        <v>336</v>
      </c>
      <c r="C173" s="171" t="s">
        <v>337</v>
      </c>
      <c r="D173" s="171" t="s">
        <v>543</v>
      </c>
      <c r="E173" s="171">
        <f>Таблица17[[#This Row],[Грунт]]+Таблица17[[#This Row],[Щебень]]+Таблица17[[#This Row],[Асфальт]]+Таблица17[[#This Row],[Бетон]]</f>
        <v>0.3</v>
      </c>
      <c r="F173" s="195">
        <v>0.3</v>
      </c>
      <c r="G173" s="173"/>
      <c r="H173" s="174"/>
      <c r="I173" s="175"/>
      <c r="J173" s="176"/>
      <c r="N173" s="8" t="b">
        <f>OR(Таблица17[[#This Row],[Щебень]]&gt;0,Таблица17[[#This Row],[Асфальт]]&gt;0,Таблица17[[#This Row],[Бетон]]&gt;0)</f>
        <v>0</v>
      </c>
      <c r="U173" s="8">
        <f>Таблица17[[#This Row],[Бетон]]+Таблица17[[#This Row],[Асфальт]]+Таблица17[[#This Row],[Щебень]]</f>
        <v>0</v>
      </c>
      <c r="V173" s="168"/>
    </row>
    <row r="174" spans="1:26" ht="70.5" hidden="1" x14ac:dyDescent="0.35">
      <c r="A174" s="171">
        <v>173</v>
      </c>
      <c r="B174" s="171" t="s">
        <v>338</v>
      </c>
      <c r="C174" s="171" t="s">
        <v>339</v>
      </c>
      <c r="D174" s="171" t="s">
        <v>543</v>
      </c>
      <c r="E174" s="171">
        <f>Таблица17[[#This Row],[Грунт]]+Таблица17[[#This Row],[Щебень]]+Таблица17[[#This Row],[Асфальт]]+Таблица17[[#This Row],[Бетон]]</f>
        <v>0.85</v>
      </c>
      <c r="F174" s="195">
        <v>0.85</v>
      </c>
      <c r="G174" s="173"/>
      <c r="H174" s="174"/>
      <c r="I174" s="175"/>
      <c r="J174" s="176"/>
      <c r="N174" s="8" t="b">
        <f>OR(Таблица17[[#This Row],[Щебень]]&gt;0,Таблица17[[#This Row],[Асфальт]]&gt;0,Таблица17[[#This Row],[Бетон]]&gt;0)</f>
        <v>0</v>
      </c>
      <c r="U174" s="8">
        <f>Таблица17[[#This Row],[Бетон]]+Таблица17[[#This Row],[Асфальт]]+Таблица17[[#This Row],[Щебень]]</f>
        <v>0</v>
      </c>
      <c r="V174" s="168"/>
    </row>
    <row r="175" spans="1:26" ht="70.5" hidden="1" x14ac:dyDescent="0.35">
      <c r="A175" s="171">
        <v>174</v>
      </c>
      <c r="B175" s="171" t="s">
        <v>340</v>
      </c>
      <c r="C175" s="171" t="s">
        <v>341</v>
      </c>
      <c r="D175" s="171" t="s">
        <v>543</v>
      </c>
      <c r="E175" s="171">
        <f>Таблица17[[#This Row],[Грунт]]+Таблица17[[#This Row],[Щебень]]+Таблица17[[#This Row],[Асфальт]]+Таблица17[[#This Row],[Бетон]]</f>
        <v>0.4</v>
      </c>
      <c r="F175" s="195">
        <v>0.4</v>
      </c>
      <c r="G175" s="173"/>
      <c r="H175" s="174"/>
      <c r="I175" s="175"/>
      <c r="J175" s="176"/>
      <c r="N175" s="8" t="b">
        <f>OR(Таблица17[[#This Row],[Щебень]]&gt;0,Таблица17[[#This Row],[Асфальт]]&gt;0,Таблица17[[#This Row],[Бетон]]&gt;0)</f>
        <v>0</v>
      </c>
      <c r="U175" s="8">
        <f>Таблица17[[#This Row],[Бетон]]+Таблица17[[#This Row],[Асфальт]]+Таблица17[[#This Row],[Щебень]]</f>
        <v>0</v>
      </c>
      <c r="V175" s="168"/>
    </row>
    <row r="176" spans="1:26" ht="70.5" hidden="1" x14ac:dyDescent="0.35">
      <c r="A176" s="171">
        <v>175</v>
      </c>
      <c r="B176" s="171" t="s">
        <v>342</v>
      </c>
      <c r="C176" s="171" t="s">
        <v>343</v>
      </c>
      <c r="D176" s="171" t="s">
        <v>543</v>
      </c>
      <c r="E176" s="171">
        <f>Таблица17[[#This Row],[Грунт]]+Таблица17[[#This Row],[Щебень]]+Таблица17[[#This Row],[Асфальт]]+Таблица17[[#This Row],[Бетон]]</f>
        <v>1.45</v>
      </c>
      <c r="F176" s="195">
        <v>1.45</v>
      </c>
      <c r="G176" s="173"/>
      <c r="H176" s="174"/>
      <c r="I176" s="175"/>
      <c r="J176" s="176"/>
      <c r="N176" s="8" t="b">
        <f>OR(Таблица17[[#This Row],[Щебень]]&gt;0,Таблица17[[#This Row],[Асфальт]]&gt;0,Таблица17[[#This Row],[Бетон]]&gt;0)</f>
        <v>0</v>
      </c>
      <c r="U176" s="8">
        <f>Таблица17[[#This Row],[Бетон]]+Таблица17[[#This Row],[Асфальт]]+Таблица17[[#This Row],[Щебень]]</f>
        <v>0</v>
      </c>
      <c r="V176" s="168"/>
    </row>
    <row r="177" spans="1:26" ht="70.5" hidden="1" x14ac:dyDescent="0.35">
      <c r="A177" s="171">
        <v>176</v>
      </c>
      <c r="B177" s="171" t="s">
        <v>344</v>
      </c>
      <c r="C177" s="171" t="s">
        <v>345</v>
      </c>
      <c r="D177" s="171" t="s">
        <v>543</v>
      </c>
      <c r="E177" s="171">
        <f>Таблица17[[#This Row],[Грунт]]+Таблица17[[#This Row],[Щебень]]+Таблица17[[#This Row],[Асфальт]]+Таблица17[[#This Row],[Бетон]]</f>
        <v>0.8</v>
      </c>
      <c r="F177" s="195">
        <v>0.8</v>
      </c>
      <c r="G177" s="173"/>
      <c r="H177" s="174"/>
      <c r="I177" s="175"/>
      <c r="J177" s="176"/>
      <c r="N177" s="8" t="b">
        <f>OR(Таблица17[[#This Row],[Щебень]]&gt;0,Таблица17[[#This Row],[Асфальт]]&gt;0,Таблица17[[#This Row],[Бетон]]&gt;0)</f>
        <v>0</v>
      </c>
      <c r="U177" s="8">
        <f>Таблица17[[#This Row],[Бетон]]+Таблица17[[#This Row],[Асфальт]]+Таблица17[[#This Row],[Щебень]]</f>
        <v>0</v>
      </c>
      <c r="V177" s="168"/>
    </row>
    <row r="178" spans="1:26" ht="70.5" hidden="1" x14ac:dyDescent="0.35">
      <c r="A178" s="171">
        <v>177</v>
      </c>
      <c r="B178" s="171" t="s">
        <v>346</v>
      </c>
      <c r="C178" s="171" t="s">
        <v>347</v>
      </c>
      <c r="D178" s="171" t="s">
        <v>543</v>
      </c>
      <c r="E178" s="171">
        <f>Таблица17[[#This Row],[Грунт]]+Таблица17[[#This Row],[Щебень]]+Таблица17[[#This Row],[Асфальт]]+Таблица17[[#This Row],[Бетон]]</f>
        <v>1.5</v>
      </c>
      <c r="F178" s="195">
        <v>1.5</v>
      </c>
      <c r="G178" s="173"/>
      <c r="H178" s="174"/>
      <c r="I178" s="175"/>
      <c r="J178" s="176"/>
      <c r="N178" s="8" t="b">
        <f>OR(Таблица17[[#This Row],[Щебень]]&gt;0,Таблица17[[#This Row],[Асфальт]]&gt;0,Таблица17[[#This Row],[Бетон]]&gt;0)</f>
        <v>0</v>
      </c>
      <c r="U178" s="8">
        <f>Таблица17[[#This Row],[Бетон]]+Таблица17[[#This Row],[Асфальт]]+Таблица17[[#This Row],[Щебень]]</f>
        <v>0</v>
      </c>
      <c r="V178" s="168"/>
    </row>
    <row r="179" spans="1:26" ht="70.5" hidden="1" x14ac:dyDescent="0.35">
      <c r="A179" s="171">
        <v>178</v>
      </c>
      <c r="B179" s="171" t="s">
        <v>348</v>
      </c>
      <c r="C179" s="171" t="s">
        <v>349</v>
      </c>
      <c r="D179" s="171" t="s">
        <v>543</v>
      </c>
      <c r="E179" s="171">
        <f>Таблица17[[#This Row],[Грунт]]+Таблица17[[#This Row],[Щебень]]+Таблица17[[#This Row],[Асфальт]]+Таблица17[[#This Row],[Бетон]]</f>
        <v>0.65</v>
      </c>
      <c r="F179" s="195">
        <v>0.65</v>
      </c>
      <c r="G179" s="173"/>
      <c r="H179" s="174"/>
      <c r="I179" s="175"/>
      <c r="J179" s="176"/>
      <c r="N179" s="8" t="b">
        <f>OR(Таблица17[[#This Row],[Щебень]]&gt;0,Таблица17[[#This Row],[Асфальт]]&gt;0,Таблица17[[#This Row],[Бетон]]&gt;0)</f>
        <v>0</v>
      </c>
      <c r="U179" s="8">
        <f>Таблица17[[#This Row],[Бетон]]+Таблица17[[#This Row],[Асфальт]]+Таблица17[[#This Row],[Щебень]]</f>
        <v>0</v>
      </c>
      <c r="V179" s="168"/>
    </row>
    <row r="180" spans="1:26" ht="70.5" hidden="1" x14ac:dyDescent="0.35">
      <c r="A180" s="171">
        <v>179</v>
      </c>
      <c r="B180" s="171" t="s">
        <v>350</v>
      </c>
      <c r="C180" s="171" t="s">
        <v>351</v>
      </c>
      <c r="D180" s="171" t="s">
        <v>543</v>
      </c>
      <c r="E180" s="171">
        <f>Таблица17[[#This Row],[Грунт]]+Таблица17[[#This Row],[Щебень]]+Таблица17[[#This Row],[Асфальт]]+Таблица17[[#This Row],[Бетон]]</f>
        <v>0.75</v>
      </c>
      <c r="F180" s="195">
        <v>0.75</v>
      </c>
      <c r="G180" s="173"/>
      <c r="H180" s="174"/>
      <c r="I180" s="175"/>
      <c r="J180" s="176"/>
      <c r="N180" s="8" t="b">
        <f>OR(Таблица17[[#This Row],[Щебень]]&gt;0,Таблица17[[#This Row],[Асфальт]]&gt;0,Таблица17[[#This Row],[Бетон]]&gt;0)</f>
        <v>0</v>
      </c>
      <c r="U180" s="8">
        <f>Таблица17[[#This Row],[Бетон]]+Таблица17[[#This Row],[Асфальт]]+Таблица17[[#This Row],[Щебень]]</f>
        <v>0</v>
      </c>
      <c r="V180" s="168"/>
    </row>
    <row r="181" spans="1:26" ht="70.5" hidden="1" x14ac:dyDescent="0.35">
      <c r="A181" s="171">
        <v>180</v>
      </c>
      <c r="B181" s="171" t="s">
        <v>352</v>
      </c>
      <c r="C181" s="171" t="s">
        <v>353</v>
      </c>
      <c r="D181" s="171" t="s">
        <v>543</v>
      </c>
      <c r="E181" s="171">
        <f>Таблица17[[#This Row],[Грунт]]+Таблица17[[#This Row],[Щебень]]+Таблица17[[#This Row],[Асфальт]]+Таблица17[[#This Row],[Бетон]]</f>
        <v>0.6</v>
      </c>
      <c r="F181" s="195">
        <v>0.6</v>
      </c>
      <c r="G181" s="173"/>
      <c r="H181" s="174"/>
      <c r="I181" s="175"/>
      <c r="J181" s="176"/>
      <c r="N181" s="8" t="b">
        <f>OR(Таблица17[[#This Row],[Щебень]]&gt;0,Таблица17[[#This Row],[Асфальт]]&gt;0,Таблица17[[#This Row],[Бетон]]&gt;0)</f>
        <v>0</v>
      </c>
      <c r="U181" s="8">
        <f>Таблица17[[#This Row],[Бетон]]+Таблица17[[#This Row],[Асфальт]]+Таблица17[[#This Row],[Щебень]]</f>
        <v>0</v>
      </c>
      <c r="V181" s="168"/>
    </row>
    <row r="182" spans="1:26" ht="70.5" hidden="1" x14ac:dyDescent="0.35">
      <c r="A182" s="171">
        <v>181</v>
      </c>
      <c r="B182" s="171" t="s">
        <v>354</v>
      </c>
      <c r="C182" s="171" t="s">
        <v>355</v>
      </c>
      <c r="D182" s="171" t="s">
        <v>543</v>
      </c>
      <c r="E182" s="171">
        <f>Таблица17[[#This Row],[Грунт]]+Таблица17[[#This Row],[Щебень]]+Таблица17[[#This Row],[Асфальт]]+Таблица17[[#This Row],[Бетон]]</f>
        <v>0.3</v>
      </c>
      <c r="F182" s="195">
        <v>0.3</v>
      </c>
      <c r="G182" s="173"/>
      <c r="H182" s="174"/>
      <c r="I182" s="175"/>
      <c r="J182" s="176"/>
      <c r="N182" s="8" t="b">
        <f>OR(Таблица17[[#This Row],[Щебень]]&gt;0,Таблица17[[#This Row],[Асфальт]]&gt;0,Таблица17[[#This Row],[Бетон]]&gt;0)</f>
        <v>0</v>
      </c>
      <c r="U182" s="8">
        <f>Таблица17[[#This Row],[Бетон]]+Таблица17[[#This Row],[Асфальт]]+Таблица17[[#This Row],[Щебень]]</f>
        <v>0</v>
      </c>
      <c r="V182" s="168"/>
    </row>
    <row r="183" spans="1:26" ht="70.5" hidden="1" x14ac:dyDescent="0.35">
      <c r="A183" s="171">
        <v>182</v>
      </c>
      <c r="B183" s="171" t="s">
        <v>356</v>
      </c>
      <c r="C183" s="171" t="s">
        <v>357</v>
      </c>
      <c r="D183" s="171" t="s">
        <v>544</v>
      </c>
      <c r="E183" s="171">
        <f>Таблица17[[#This Row],[Грунт]]+Таблица17[[#This Row],[Щебень]]+Таблица17[[#This Row],[Асфальт]]+Таблица17[[#This Row],[Бетон]]</f>
        <v>3.0449999999999999</v>
      </c>
      <c r="F183" s="172">
        <v>2.0390000000000001</v>
      </c>
      <c r="G183" s="173">
        <v>0.98799999999999999</v>
      </c>
      <c r="H183" s="174">
        <v>1.7999999999999999E-2</v>
      </c>
      <c r="I183" s="175"/>
      <c r="J183" s="176"/>
      <c r="N183" s="8" t="b">
        <f>OR(Таблица17[[#This Row],[Щебень]]&gt;0,Таблица17[[#This Row],[Асфальт]]&gt;0,Таблица17[[#This Row],[Бетон]]&gt;0)</f>
        <v>1</v>
      </c>
      <c r="O183" s="8">
        <v>1</v>
      </c>
      <c r="U183" s="8">
        <f>Таблица17[[#This Row],[Бетон]]+Таблица17[[#This Row],[Асфальт]]+Таблица17[[#This Row],[Щебень]]</f>
        <v>1.006</v>
      </c>
      <c r="V183" s="168"/>
      <c r="Z183" s="8">
        <v>1.006</v>
      </c>
    </row>
    <row r="184" spans="1:26" ht="70.5" hidden="1" x14ac:dyDescent="0.35">
      <c r="A184" s="171">
        <v>183</v>
      </c>
      <c r="B184" s="171" t="s">
        <v>358</v>
      </c>
      <c r="C184" s="171" t="s">
        <v>359</v>
      </c>
      <c r="D184" s="171" t="s">
        <v>544</v>
      </c>
      <c r="E184" s="171">
        <f>Таблица17[[#This Row],[Грунт]]+Таблица17[[#This Row],[Щебень]]+Таблица17[[#This Row],[Асфальт]]+Таблица17[[#This Row],[Бетон]]</f>
        <v>1</v>
      </c>
      <c r="F184" s="172">
        <v>1</v>
      </c>
      <c r="G184" s="173"/>
      <c r="H184" s="174"/>
      <c r="I184" s="175"/>
      <c r="J184" s="176"/>
      <c r="N184" s="8" t="b">
        <f>OR(Таблица17[[#This Row],[Щебень]]&gt;0,Таблица17[[#This Row],[Асфальт]]&gt;0,Таблица17[[#This Row],[Бетон]]&gt;0)</f>
        <v>0</v>
      </c>
      <c r="U184" s="8">
        <f>Таблица17[[#This Row],[Бетон]]+Таблица17[[#This Row],[Асфальт]]+Таблица17[[#This Row],[Щебень]]</f>
        <v>0</v>
      </c>
      <c r="V184" s="168"/>
    </row>
    <row r="185" spans="1:26" ht="70.5" hidden="1" x14ac:dyDescent="0.35">
      <c r="A185" s="171">
        <v>184</v>
      </c>
      <c r="B185" s="171" t="s">
        <v>360</v>
      </c>
      <c r="C185" s="171" t="s">
        <v>361</v>
      </c>
      <c r="D185" s="171" t="s">
        <v>544</v>
      </c>
      <c r="E185" s="171">
        <f>Таблица17[[#This Row],[Грунт]]+Таблица17[[#This Row],[Щебень]]+Таблица17[[#This Row],[Асфальт]]+Таблица17[[#This Row],[Бетон]]</f>
        <v>1.8</v>
      </c>
      <c r="F185" s="172">
        <v>1.8</v>
      </c>
      <c r="G185" s="173"/>
      <c r="H185" s="174"/>
      <c r="I185" s="175"/>
      <c r="J185" s="176"/>
      <c r="N185" s="8" t="b">
        <f>OR(Таблица17[[#This Row],[Щебень]]&gt;0,Таблица17[[#This Row],[Асфальт]]&gt;0,Таблица17[[#This Row],[Бетон]]&gt;0)</f>
        <v>0</v>
      </c>
      <c r="U185" s="8">
        <f>Таблица17[[#This Row],[Бетон]]+Таблица17[[#This Row],[Асфальт]]+Таблица17[[#This Row],[Щебень]]</f>
        <v>0</v>
      </c>
      <c r="V185" s="168"/>
    </row>
    <row r="186" spans="1:26" ht="70.5" hidden="1" x14ac:dyDescent="0.35">
      <c r="A186" s="171">
        <v>185</v>
      </c>
      <c r="B186" s="171" t="s">
        <v>362</v>
      </c>
      <c r="C186" s="171" t="s">
        <v>363</v>
      </c>
      <c r="D186" s="171" t="s">
        <v>544</v>
      </c>
      <c r="E186" s="171">
        <f>Таблица17[[#This Row],[Грунт]]+Таблица17[[#This Row],[Щебень]]+Таблица17[[#This Row],[Асфальт]]+Таблица17[[#This Row],[Бетон]]</f>
        <v>1</v>
      </c>
      <c r="F186" s="172">
        <v>1</v>
      </c>
      <c r="G186" s="173"/>
      <c r="H186" s="174"/>
      <c r="I186" s="175"/>
      <c r="J186" s="176"/>
      <c r="N186" s="8" t="b">
        <f>OR(Таблица17[[#This Row],[Щебень]]&gt;0,Таблица17[[#This Row],[Асфальт]]&gt;0,Таблица17[[#This Row],[Бетон]]&gt;0)</f>
        <v>0</v>
      </c>
      <c r="U186" s="8">
        <f>Таблица17[[#This Row],[Бетон]]+Таблица17[[#This Row],[Асфальт]]+Таблица17[[#This Row],[Щебень]]</f>
        <v>0</v>
      </c>
      <c r="V186" s="168"/>
    </row>
    <row r="187" spans="1:26" ht="70.5" hidden="1" x14ac:dyDescent="0.35">
      <c r="A187" s="171">
        <v>186</v>
      </c>
      <c r="B187" s="171" t="s">
        <v>364</v>
      </c>
      <c r="C187" s="171" t="s">
        <v>365</v>
      </c>
      <c r="D187" s="171" t="s">
        <v>544</v>
      </c>
      <c r="E187" s="171">
        <f>Таблица17[[#This Row],[Грунт]]+Таблица17[[#This Row],[Щебень]]+Таблица17[[#This Row],[Асфальт]]+Таблица17[[#This Row],[Бетон]]</f>
        <v>1.1000000000000001</v>
      </c>
      <c r="F187" s="172">
        <v>1.1000000000000001</v>
      </c>
      <c r="G187" s="173"/>
      <c r="H187" s="174"/>
      <c r="I187" s="175"/>
      <c r="J187" s="176"/>
      <c r="N187" s="8" t="b">
        <f>OR(Таблица17[[#This Row],[Щебень]]&gt;0,Таблица17[[#This Row],[Асфальт]]&gt;0,Таблица17[[#This Row],[Бетон]]&gt;0)</f>
        <v>0</v>
      </c>
      <c r="U187" s="8">
        <f>Таблица17[[#This Row],[Бетон]]+Таблица17[[#This Row],[Асфальт]]+Таблица17[[#This Row],[Щебень]]</f>
        <v>0</v>
      </c>
      <c r="V187" s="168"/>
    </row>
    <row r="188" spans="1:26" ht="70.5" hidden="1" x14ac:dyDescent="0.35">
      <c r="A188" s="171">
        <v>187</v>
      </c>
      <c r="B188" s="171" t="s">
        <v>334</v>
      </c>
      <c r="C188" s="171" t="s">
        <v>366</v>
      </c>
      <c r="D188" s="171" t="s">
        <v>545</v>
      </c>
      <c r="E188" s="171">
        <f>Таблица17[[#This Row],[Грунт]]+Таблица17[[#This Row],[Щебень]]+Таблица17[[#This Row],[Асфальт]]+Таблица17[[#This Row],[Бетон]]</f>
        <v>4.32</v>
      </c>
      <c r="F188" s="172">
        <v>2</v>
      </c>
      <c r="G188" s="173">
        <v>2</v>
      </c>
      <c r="H188" s="174"/>
      <c r="I188" s="175">
        <v>0.32</v>
      </c>
      <c r="J188" s="176"/>
      <c r="K188" s="10" t="s">
        <v>557</v>
      </c>
      <c r="N188" s="8" t="b">
        <f>OR(Таблица17[[#This Row],[Щебень]]&gt;0,Таблица17[[#This Row],[Асфальт]]&gt;0,Таблица17[[#This Row],[Бетон]]&gt;0)</f>
        <v>1</v>
      </c>
      <c r="O188" s="8">
        <v>1</v>
      </c>
      <c r="U188" s="8">
        <f>Таблица17[[#This Row],[Бетон]]+Таблица17[[#This Row],[Асфальт]]+Таблица17[[#This Row],[Щебень]]</f>
        <v>2.3199999999999998</v>
      </c>
      <c r="V188" s="168"/>
      <c r="Y188" s="8">
        <v>2.3199999999999998</v>
      </c>
    </row>
    <row r="189" spans="1:26" ht="70.5" hidden="1" x14ac:dyDescent="0.35">
      <c r="A189" s="171">
        <v>188</v>
      </c>
      <c r="B189" s="171" t="s">
        <v>336</v>
      </c>
      <c r="C189" s="171" t="s">
        <v>367</v>
      </c>
      <c r="D189" s="171" t="s">
        <v>545</v>
      </c>
      <c r="E189" s="171">
        <f>Таблица17[[#This Row],[Грунт]]+Таблица17[[#This Row],[Щебень]]+Таблица17[[#This Row],[Асфальт]]+Таблица17[[#This Row],[Бетон]]</f>
        <v>2.2000000000000002</v>
      </c>
      <c r="F189" s="172">
        <v>0.7</v>
      </c>
      <c r="G189" s="173"/>
      <c r="H189" s="174">
        <v>1.5</v>
      </c>
      <c r="I189" s="175"/>
      <c r="J189" s="176"/>
      <c r="K189" s="10" t="s">
        <v>557</v>
      </c>
      <c r="N189" s="8" t="b">
        <f>OR(Таблица17[[#This Row],[Щебень]]&gt;0,Таблица17[[#This Row],[Асфальт]]&gt;0,Таблица17[[#This Row],[Бетон]]&gt;0)</f>
        <v>1</v>
      </c>
      <c r="O189" s="8">
        <v>1</v>
      </c>
      <c r="U189" s="8">
        <f>Таблица17[[#This Row],[Бетон]]+Таблица17[[#This Row],[Асфальт]]+Таблица17[[#This Row],[Щебень]]</f>
        <v>1.5</v>
      </c>
      <c r="V189" s="168"/>
    </row>
    <row r="190" spans="1:26" ht="70.5" hidden="1" x14ac:dyDescent="0.35">
      <c r="A190" s="171">
        <v>189</v>
      </c>
      <c r="B190" s="171" t="s">
        <v>338</v>
      </c>
      <c r="C190" s="171" t="s">
        <v>368</v>
      </c>
      <c r="D190" s="171" t="s">
        <v>545</v>
      </c>
      <c r="E190" s="171">
        <f>Таблица17[[#This Row],[Грунт]]+Таблица17[[#This Row],[Щебень]]+Таблица17[[#This Row],[Асфальт]]+Таблица17[[#This Row],[Бетон]]</f>
        <v>1.5</v>
      </c>
      <c r="F190" s="172">
        <v>1.5</v>
      </c>
      <c r="G190" s="173"/>
      <c r="H190" s="174"/>
      <c r="I190" s="175"/>
      <c r="J190" s="176"/>
      <c r="N190" s="8" t="b">
        <f>OR(Таблица17[[#This Row],[Щебень]]&gt;0,Таблица17[[#This Row],[Асфальт]]&gt;0,Таблица17[[#This Row],[Бетон]]&gt;0)</f>
        <v>0</v>
      </c>
      <c r="U190" s="8">
        <f>Таблица17[[#This Row],[Бетон]]+Таблица17[[#This Row],[Асфальт]]+Таблица17[[#This Row],[Щебень]]</f>
        <v>0</v>
      </c>
      <c r="V190" s="168"/>
    </row>
    <row r="191" spans="1:26" ht="70.5" hidden="1" x14ac:dyDescent="0.35">
      <c r="A191" s="171">
        <v>190</v>
      </c>
      <c r="B191" s="171" t="s">
        <v>567</v>
      </c>
      <c r="C191" s="171" t="s">
        <v>369</v>
      </c>
      <c r="D191" s="171" t="s">
        <v>545</v>
      </c>
      <c r="E191" s="171">
        <f>Таблица17[[#This Row],[Грунт]]+Таблица17[[#This Row],[Щебень]]+Таблица17[[#This Row],[Асфальт]]+Таблица17[[#This Row],[Бетон]]</f>
        <v>2.1</v>
      </c>
      <c r="F191" s="172">
        <v>2.1</v>
      </c>
      <c r="G191" s="173"/>
      <c r="H191" s="174"/>
      <c r="I191" s="175"/>
      <c r="J191" s="176"/>
      <c r="N191" s="12" t="b">
        <f>OR(Таблица17[[#This Row],[Щебень]]&gt;0,Таблица17[[#This Row],[Асфальт]]&gt;0,Таблица17[[#This Row],[Бетон]]&gt;0)</f>
        <v>0</v>
      </c>
      <c r="U191" s="8">
        <f>Таблица17[[#This Row],[Бетон]]+Таблица17[[#This Row],[Асфальт]]+Таблица17[[#This Row],[Щебень]]</f>
        <v>0</v>
      </c>
      <c r="V191" s="168"/>
    </row>
    <row r="192" spans="1:26" ht="70.5" hidden="1" x14ac:dyDescent="0.35">
      <c r="A192" s="171">
        <v>192</v>
      </c>
      <c r="B192" s="171" t="s">
        <v>342</v>
      </c>
      <c r="C192" s="171" t="s">
        <v>370</v>
      </c>
      <c r="D192" s="171" t="s">
        <v>545</v>
      </c>
      <c r="E192" s="171">
        <f>Таблица17[[#This Row],[Грунт]]+Таблица17[[#This Row],[Щебень]]+Таблица17[[#This Row],[Асфальт]]+Таблица17[[#This Row],[Бетон]]</f>
        <v>1</v>
      </c>
      <c r="F192" s="172">
        <v>1</v>
      </c>
      <c r="G192" s="173"/>
      <c r="H192" s="174"/>
      <c r="I192" s="175"/>
      <c r="J192" s="176"/>
      <c r="N192" s="8" t="b">
        <f>OR(Таблица17[[#This Row],[Щебень]]&gt;0,Таблица17[[#This Row],[Асфальт]]&gt;0,Таблица17[[#This Row],[Бетон]]&gt;0)</f>
        <v>0</v>
      </c>
      <c r="U192" s="8">
        <f>Таблица17[[#This Row],[Бетон]]+Таблица17[[#This Row],[Асфальт]]+Таблица17[[#This Row],[Щебень]]</f>
        <v>0</v>
      </c>
      <c r="V192" s="168"/>
    </row>
    <row r="193" spans="1:25" ht="70.5" hidden="1" x14ac:dyDescent="0.35">
      <c r="A193" s="171">
        <v>193</v>
      </c>
      <c r="B193" s="171" t="s">
        <v>344</v>
      </c>
      <c r="C193" s="171" t="s">
        <v>371</v>
      </c>
      <c r="D193" s="171" t="s">
        <v>545</v>
      </c>
      <c r="E193" s="171">
        <f>Таблица17[[#This Row],[Грунт]]+Таблица17[[#This Row],[Щебень]]+Таблица17[[#This Row],[Асфальт]]+Таблица17[[#This Row],[Бетон]]</f>
        <v>1.5</v>
      </c>
      <c r="F193" s="172">
        <v>1.5</v>
      </c>
      <c r="G193" s="173"/>
      <c r="H193" s="174"/>
      <c r="I193" s="175"/>
      <c r="J193" s="176"/>
      <c r="N193" s="8" t="b">
        <f>OR(Таблица17[[#This Row],[Щебень]]&gt;0,Таблица17[[#This Row],[Асфальт]]&gt;0,Таблица17[[#This Row],[Бетон]]&gt;0)</f>
        <v>0</v>
      </c>
      <c r="U193" s="8">
        <f>Таблица17[[#This Row],[Бетон]]+Таблица17[[#This Row],[Асфальт]]+Таблица17[[#This Row],[Щебень]]</f>
        <v>0</v>
      </c>
      <c r="V193" s="168"/>
    </row>
    <row r="194" spans="1:25" ht="70.5" hidden="1" x14ac:dyDescent="0.35">
      <c r="A194" s="171">
        <v>194</v>
      </c>
      <c r="B194" s="171" t="s">
        <v>346</v>
      </c>
      <c r="C194" s="171" t="s">
        <v>372</v>
      </c>
      <c r="D194" s="171" t="s">
        <v>545</v>
      </c>
      <c r="E194" s="171">
        <f>Таблица17[[#This Row],[Грунт]]+Таблица17[[#This Row],[Щебень]]+Таблица17[[#This Row],[Асфальт]]+Таблица17[[#This Row],[Бетон]]</f>
        <v>2.5</v>
      </c>
      <c r="F194" s="172">
        <v>2.5</v>
      </c>
      <c r="G194" s="173"/>
      <c r="H194" s="174"/>
      <c r="I194" s="175"/>
      <c r="J194" s="176"/>
      <c r="N194" s="8" t="b">
        <f>OR(Таблица17[[#This Row],[Щебень]]&gt;0,Таблица17[[#This Row],[Асфальт]]&gt;0,Таблица17[[#This Row],[Бетон]]&gt;0)</f>
        <v>0</v>
      </c>
      <c r="U194" s="8">
        <f>Таблица17[[#This Row],[Бетон]]+Таблица17[[#This Row],[Асфальт]]+Таблица17[[#This Row],[Щебень]]</f>
        <v>0</v>
      </c>
      <c r="V194" s="168"/>
    </row>
    <row r="195" spans="1:25" ht="70.5" hidden="1" x14ac:dyDescent="0.35">
      <c r="A195" s="171">
        <v>195</v>
      </c>
      <c r="B195" s="171" t="s">
        <v>348</v>
      </c>
      <c r="C195" s="171" t="s">
        <v>373</v>
      </c>
      <c r="D195" s="171" t="s">
        <v>545</v>
      </c>
      <c r="E195" s="171">
        <f>Таблица17[[#This Row],[Грунт]]+Таблица17[[#This Row],[Щебень]]+Таблица17[[#This Row],[Асфальт]]+Таблица17[[#This Row],[Бетон]]</f>
        <v>1.5</v>
      </c>
      <c r="F195" s="172">
        <v>1.5</v>
      </c>
      <c r="G195" s="173"/>
      <c r="H195" s="174"/>
      <c r="I195" s="175"/>
      <c r="J195" s="176"/>
      <c r="N195" s="8" t="b">
        <f>OR(Таблица17[[#This Row],[Щебень]]&gt;0,Таблица17[[#This Row],[Асфальт]]&gt;0,Таблица17[[#This Row],[Бетон]]&gt;0)</f>
        <v>0</v>
      </c>
      <c r="U195" s="8">
        <f>Таблица17[[#This Row],[Бетон]]+Таблица17[[#This Row],[Асфальт]]+Таблица17[[#This Row],[Щебень]]</f>
        <v>0</v>
      </c>
      <c r="V195" s="168"/>
    </row>
    <row r="196" spans="1:25" ht="70.5" hidden="1" x14ac:dyDescent="0.35">
      <c r="A196" s="171">
        <v>196</v>
      </c>
      <c r="B196" s="171" t="s">
        <v>350</v>
      </c>
      <c r="C196" s="171" t="s">
        <v>374</v>
      </c>
      <c r="D196" s="171" t="s">
        <v>545</v>
      </c>
      <c r="E196" s="171">
        <f>Таблица17[[#This Row],[Грунт]]+Таблица17[[#This Row],[Щебень]]+Таблица17[[#This Row],[Асфальт]]+Таблица17[[#This Row],[Бетон]]</f>
        <v>1.7</v>
      </c>
      <c r="F196" s="172">
        <v>0.2</v>
      </c>
      <c r="G196" s="173">
        <v>1.5</v>
      </c>
      <c r="H196" s="174"/>
      <c r="I196" s="175"/>
      <c r="J196" s="176"/>
      <c r="K196" s="10" t="s">
        <v>557</v>
      </c>
      <c r="N196" s="8" t="b">
        <f>OR(Таблица17[[#This Row],[Щебень]]&gt;0,Таблица17[[#This Row],[Асфальт]]&gt;0,Таблица17[[#This Row],[Бетон]]&gt;0)</f>
        <v>1</v>
      </c>
      <c r="O196" s="8">
        <v>1</v>
      </c>
      <c r="U196" s="8">
        <f>Таблица17[[#This Row],[Бетон]]+Таблица17[[#This Row],[Асфальт]]+Таблица17[[#This Row],[Щебень]]</f>
        <v>1.5</v>
      </c>
      <c r="V196" s="168"/>
    </row>
    <row r="197" spans="1:25" ht="70.5" hidden="1" x14ac:dyDescent="0.35">
      <c r="A197" s="171">
        <v>197</v>
      </c>
      <c r="B197" s="171" t="s">
        <v>352</v>
      </c>
      <c r="C197" s="171" t="s">
        <v>375</v>
      </c>
      <c r="D197" s="171" t="s">
        <v>545</v>
      </c>
      <c r="E197" s="171">
        <f>Таблица17[[#This Row],[Грунт]]+Таблица17[[#This Row],[Щебень]]+Таблица17[[#This Row],[Асфальт]]+Таблица17[[#This Row],[Бетон]]</f>
        <v>1.2</v>
      </c>
      <c r="F197" s="172">
        <v>1.2</v>
      </c>
      <c r="G197" s="173"/>
      <c r="H197" s="174"/>
      <c r="I197" s="175"/>
      <c r="J197" s="176"/>
      <c r="N197" s="8" t="b">
        <f>OR(Таблица17[[#This Row],[Щебень]]&gt;0,Таблица17[[#This Row],[Асфальт]]&gt;0,Таблица17[[#This Row],[Бетон]]&gt;0)</f>
        <v>0</v>
      </c>
      <c r="U197" s="8">
        <f>Таблица17[[#This Row],[Бетон]]+Таблица17[[#This Row],[Асфальт]]+Таблица17[[#This Row],[Щебень]]</f>
        <v>0</v>
      </c>
      <c r="V197" s="168"/>
    </row>
    <row r="198" spans="1:25" ht="70.5" hidden="1" x14ac:dyDescent="0.35">
      <c r="A198" s="171">
        <v>198</v>
      </c>
      <c r="B198" s="171" t="s">
        <v>354</v>
      </c>
      <c r="C198" s="171" t="s">
        <v>376</v>
      </c>
      <c r="D198" s="171" t="s">
        <v>545</v>
      </c>
      <c r="E198" s="171">
        <f>Таблица17[[#This Row],[Грунт]]+Таблица17[[#This Row],[Щебень]]+Таблица17[[#This Row],[Асфальт]]+Таблица17[[#This Row],[Бетон]]</f>
        <v>1</v>
      </c>
      <c r="F198" s="172">
        <v>1</v>
      </c>
      <c r="G198" s="173"/>
      <c r="H198" s="174"/>
      <c r="I198" s="175"/>
      <c r="J198" s="176"/>
      <c r="N198" s="8" t="b">
        <f>OR(Таблица17[[#This Row],[Щебень]]&gt;0,Таблица17[[#This Row],[Асфальт]]&gt;0,Таблица17[[#This Row],[Бетон]]&gt;0)</f>
        <v>0</v>
      </c>
      <c r="U198" s="8">
        <f>Таблица17[[#This Row],[Бетон]]+Таблица17[[#This Row],[Асфальт]]+Таблица17[[#This Row],[Щебень]]</f>
        <v>0</v>
      </c>
      <c r="V198" s="168"/>
    </row>
    <row r="199" spans="1:25" ht="70.5" hidden="1" x14ac:dyDescent="0.35">
      <c r="A199" s="171">
        <v>202</v>
      </c>
      <c r="B199" s="171" t="s">
        <v>383</v>
      </c>
      <c r="C199" s="171" t="s">
        <v>384</v>
      </c>
      <c r="D199" s="171" t="s">
        <v>546</v>
      </c>
      <c r="E199" s="171">
        <f>Таблица17[[#This Row],[Грунт]]+Таблица17[[#This Row],[Щебень]]+Таблица17[[#This Row],[Асфальт]]+Таблица17[[#This Row],[Бетон]]</f>
        <v>1</v>
      </c>
      <c r="F199" s="172">
        <v>1</v>
      </c>
      <c r="G199" s="173"/>
      <c r="H199" s="174"/>
      <c r="I199" s="175"/>
      <c r="J199" s="176"/>
      <c r="N199" s="8" t="b">
        <f>OR(Таблица17[[#This Row],[Щебень]]&gt;0,Таблица17[[#This Row],[Асфальт]]&gt;0,Таблица17[[#This Row],[Бетон]]&gt;0)</f>
        <v>0</v>
      </c>
      <c r="U199" s="8">
        <f>Таблица17[[#This Row],[Бетон]]+Таблица17[[#This Row],[Асфальт]]+Таблица17[[#This Row],[Щебень]]</f>
        <v>0</v>
      </c>
      <c r="V199" s="168"/>
    </row>
    <row r="200" spans="1:25" ht="70.5" hidden="1" x14ac:dyDescent="0.35">
      <c r="A200" s="171">
        <v>203</v>
      </c>
      <c r="B200" s="171" t="s">
        <v>385</v>
      </c>
      <c r="C200" s="171" t="s">
        <v>386</v>
      </c>
      <c r="D200" s="171" t="s">
        <v>546</v>
      </c>
      <c r="E200" s="171">
        <f>Таблица17[[#This Row],[Грунт]]+Таблица17[[#This Row],[Щебень]]+Таблица17[[#This Row],[Асфальт]]+Таблица17[[#This Row],[Бетон]]</f>
        <v>3</v>
      </c>
      <c r="F200" s="172">
        <v>3</v>
      </c>
      <c r="G200" s="173"/>
      <c r="H200" s="174"/>
      <c r="I200" s="175"/>
      <c r="J200" s="176"/>
      <c r="N200" s="8" t="b">
        <f>OR(Таблица17[[#This Row],[Щебень]]&gt;0,Таблица17[[#This Row],[Асфальт]]&gt;0,Таблица17[[#This Row],[Бетон]]&gt;0)</f>
        <v>0</v>
      </c>
      <c r="U200" s="8">
        <f>Таблица17[[#This Row],[Бетон]]+Таблица17[[#This Row],[Асфальт]]+Таблица17[[#This Row],[Щебень]]</f>
        <v>0</v>
      </c>
      <c r="V200" s="168"/>
    </row>
    <row r="201" spans="1:25" ht="70.5" hidden="1" x14ac:dyDescent="0.35">
      <c r="A201" s="171">
        <v>204</v>
      </c>
      <c r="B201" s="171" t="s">
        <v>387</v>
      </c>
      <c r="C201" s="171" t="s">
        <v>388</v>
      </c>
      <c r="D201" s="171" t="s">
        <v>546</v>
      </c>
      <c r="E201" s="171">
        <f>Таблица17[[#This Row],[Грунт]]+Таблица17[[#This Row],[Щебень]]+Таблица17[[#This Row],[Асфальт]]+Таблица17[[#This Row],[Бетон]]</f>
        <v>1</v>
      </c>
      <c r="F201" s="172">
        <v>1</v>
      </c>
      <c r="G201" s="173"/>
      <c r="H201" s="174"/>
      <c r="I201" s="175"/>
      <c r="J201" s="176"/>
      <c r="N201" s="8" t="b">
        <f>OR(Таблица17[[#This Row],[Щебень]]&gt;0,Таблица17[[#This Row],[Асфальт]]&gt;0,Таблица17[[#This Row],[Бетон]]&gt;0)</f>
        <v>0</v>
      </c>
      <c r="U201" s="8">
        <f>Таблица17[[#This Row],[Бетон]]+Таблица17[[#This Row],[Асфальт]]+Таблица17[[#This Row],[Щебень]]</f>
        <v>0</v>
      </c>
      <c r="V201" s="168"/>
    </row>
    <row r="202" spans="1:25" ht="70.5" hidden="1" x14ac:dyDescent="0.35">
      <c r="A202" s="171">
        <v>205</v>
      </c>
      <c r="B202" s="171" t="s">
        <v>389</v>
      </c>
      <c r="C202" s="171" t="s">
        <v>390</v>
      </c>
      <c r="D202" s="171" t="s">
        <v>546</v>
      </c>
      <c r="E202" s="171">
        <f>Таблица17[[#This Row],[Грунт]]+Таблица17[[#This Row],[Щебень]]+Таблица17[[#This Row],[Асфальт]]+Таблица17[[#This Row],[Бетон]]</f>
        <v>1.5</v>
      </c>
      <c r="F202" s="172">
        <v>1.5</v>
      </c>
      <c r="G202" s="173"/>
      <c r="H202" s="174"/>
      <c r="I202" s="175"/>
      <c r="J202" s="176"/>
      <c r="N202" s="8" t="b">
        <f>OR(Таблица17[[#This Row],[Щебень]]&gt;0,Таблица17[[#This Row],[Асфальт]]&gt;0,Таблица17[[#This Row],[Бетон]]&gt;0)</f>
        <v>0</v>
      </c>
      <c r="U202" s="8">
        <f>Таблица17[[#This Row],[Бетон]]+Таблица17[[#This Row],[Асфальт]]+Таблица17[[#This Row],[Щебень]]</f>
        <v>0</v>
      </c>
      <c r="V202" s="168"/>
    </row>
    <row r="203" spans="1:25" ht="70.5" hidden="1" x14ac:dyDescent="0.35">
      <c r="A203" s="171">
        <v>206</v>
      </c>
      <c r="B203" s="171" t="s">
        <v>391</v>
      </c>
      <c r="C203" s="171" t="s">
        <v>392</v>
      </c>
      <c r="D203" s="171" t="s">
        <v>546</v>
      </c>
      <c r="E203" s="171">
        <f>Таблица17[[#This Row],[Грунт]]+Таблица17[[#This Row],[Щебень]]+Таблица17[[#This Row],[Асфальт]]+Таблица17[[#This Row],[Бетон]]</f>
        <v>1.5</v>
      </c>
      <c r="F203" s="172">
        <v>1.5</v>
      </c>
      <c r="G203" s="173"/>
      <c r="H203" s="174"/>
      <c r="I203" s="175"/>
      <c r="J203" s="176"/>
      <c r="N203" s="8" t="b">
        <f>OR(Таблица17[[#This Row],[Щебень]]&gt;0,Таблица17[[#This Row],[Асфальт]]&gt;0,Таблица17[[#This Row],[Бетон]]&gt;0)</f>
        <v>0</v>
      </c>
      <c r="U203" s="8">
        <f>Таблица17[[#This Row],[Бетон]]+Таблица17[[#This Row],[Асфальт]]+Таблица17[[#This Row],[Щебень]]</f>
        <v>0</v>
      </c>
      <c r="V203" s="168"/>
    </row>
    <row r="204" spans="1:25" ht="70.5" hidden="1" x14ac:dyDescent="0.35">
      <c r="A204" s="171">
        <v>207</v>
      </c>
      <c r="B204" s="171" t="s">
        <v>393</v>
      </c>
      <c r="C204" s="171" t="s">
        <v>394</v>
      </c>
      <c r="D204" s="171" t="s">
        <v>546</v>
      </c>
      <c r="E204" s="171">
        <f>Таблица17[[#This Row],[Грунт]]+Таблица17[[#This Row],[Щебень]]+Таблица17[[#This Row],[Асфальт]]+Таблица17[[#This Row],[Бетон]]</f>
        <v>1.5</v>
      </c>
      <c r="F204" s="172">
        <v>1.5</v>
      </c>
      <c r="G204" s="173"/>
      <c r="H204" s="174"/>
      <c r="I204" s="175"/>
      <c r="J204" s="176"/>
      <c r="N204" s="8" t="b">
        <f>OR(Таблица17[[#This Row],[Щебень]]&gt;0,Таблица17[[#This Row],[Асфальт]]&gt;0,Таблица17[[#This Row],[Бетон]]&gt;0)</f>
        <v>0</v>
      </c>
      <c r="U204" s="8">
        <f>Таблица17[[#This Row],[Бетон]]+Таблица17[[#This Row],[Асфальт]]+Таблица17[[#This Row],[Щебень]]</f>
        <v>0</v>
      </c>
      <c r="V204" s="168"/>
    </row>
    <row r="205" spans="1:25" ht="70.5" hidden="1" x14ac:dyDescent="0.35">
      <c r="A205" s="171">
        <v>208</v>
      </c>
      <c r="B205" s="171" t="s">
        <v>395</v>
      </c>
      <c r="C205" s="171" t="s">
        <v>396</v>
      </c>
      <c r="D205" s="171" t="s">
        <v>546</v>
      </c>
      <c r="E205" s="171">
        <f>Таблица17[[#This Row],[Грунт]]+Таблица17[[#This Row],[Щебень]]+Таблица17[[#This Row],[Асфальт]]+Таблица17[[#This Row],[Бетон]]</f>
        <v>1</v>
      </c>
      <c r="F205" s="172">
        <v>1</v>
      </c>
      <c r="G205" s="173"/>
      <c r="H205" s="174"/>
      <c r="I205" s="175"/>
      <c r="J205" s="176"/>
      <c r="N205" s="8" t="b">
        <f>OR(Таблица17[[#This Row],[Щебень]]&gt;0,Таблица17[[#This Row],[Асфальт]]&gt;0,Таблица17[[#This Row],[Бетон]]&gt;0)</f>
        <v>0</v>
      </c>
      <c r="U205" s="8">
        <f>Таблица17[[#This Row],[Бетон]]+Таблица17[[#This Row],[Асфальт]]+Таблица17[[#This Row],[Щебень]]</f>
        <v>0</v>
      </c>
      <c r="V205" s="168"/>
    </row>
    <row r="206" spans="1:25" ht="70.5" hidden="1" x14ac:dyDescent="0.35">
      <c r="A206" s="171">
        <v>209</v>
      </c>
      <c r="B206" s="171" t="s">
        <v>397</v>
      </c>
      <c r="C206" s="171" t="s">
        <v>398</v>
      </c>
      <c r="D206" s="171" t="s">
        <v>547</v>
      </c>
      <c r="E206" s="171">
        <f>Таблица17[[#This Row],[Грунт]]+Таблица17[[#This Row],[Щебень]]+Таблица17[[#This Row],[Асфальт]]+Таблица17[[#This Row],[Бетон]]</f>
        <v>5.0999999999999996</v>
      </c>
      <c r="F206" s="172">
        <v>3</v>
      </c>
      <c r="G206" s="173">
        <v>1.1000000000000001</v>
      </c>
      <c r="H206" s="174">
        <v>1</v>
      </c>
      <c r="I206" s="175"/>
      <c r="J206" s="176"/>
      <c r="K206" s="10" t="s">
        <v>557</v>
      </c>
      <c r="N206" s="8" t="b">
        <f>OR(Таблица17[[#This Row],[Щебень]]&gt;0,Таблица17[[#This Row],[Асфальт]]&gt;0,Таблица17[[#This Row],[Бетон]]&gt;0)</f>
        <v>1</v>
      </c>
      <c r="O206" s="8">
        <v>1</v>
      </c>
      <c r="U206" s="8">
        <f>Таблица17[[#This Row],[Бетон]]+Таблица17[[#This Row],[Асфальт]]+Таблица17[[#This Row],[Щебень]]</f>
        <v>2.1</v>
      </c>
      <c r="V206" s="168"/>
    </row>
    <row r="207" spans="1:25" ht="70.5" hidden="1" x14ac:dyDescent="0.35">
      <c r="A207" s="171">
        <v>210</v>
      </c>
      <c r="B207" s="171" t="s">
        <v>399</v>
      </c>
      <c r="C207" s="171" t="s">
        <v>400</v>
      </c>
      <c r="D207" s="171" t="s">
        <v>547</v>
      </c>
      <c r="E207" s="171">
        <f>Таблица17[[#This Row],[Грунт]]+Таблица17[[#This Row],[Щебень]]+Таблица17[[#This Row],[Асфальт]]+Таблица17[[#This Row],[Бетон]]</f>
        <v>1.5</v>
      </c>
      <c r="F207" s="172"/>
      <c r="G207" s="173">
        <v>0.5</v>
      </c>
      <c r="H207" s="174">
        <v>1</v>
      </c>
      <c r="I207" s="175"/>
      <c r="J207" s="176"/>
      <c r="N207" s="8" t="b">
        <f>OR(Таблица17[[#This Row],[Щебень]]&gt;0,Таблица17[[#This Row],[Асфальт]]&gt;0,Таблица17[[#This Row],[Бетон]]&gt;0)</f>
        <v>1</v>
      </c>
      <c r="O207" s="8">
        <v>1</v>
      </c>
      <c r="U207" s="8">
        <f>Таблица17[[#This Row],[Бетон]]+Таблица17[[#This Row],[Асфальт]]+Таблица17[[#This Row],[Щебень]]</f>
        <v>1.5</v>
      </c>
      <c r="V207" s="168"/>
      <c r="Y207" s="8">
        <v>1.5</v>
      </c>
    </row>
    <row r="208" spans="1:25" ht="70.5" hidden="1" x14ac:dyDescent="0.35">
      <c r="A208" s="171">
        <v>211</v>
      </c>
      <c r="B208" s="171" t="s">
        <v>401</v>
      </c>
      <c r="C208" s="171" t="s">
        <v>402</v>
      </c>
      <c r="D208" s="171" t="s">
        <v>547</v>
      </c>
      <c r="E208" s="171">
        <f>Таблица17[[#This Row],[Грунт]]+Таблица17[[#This Row],[Щебень]]+Таблица17[[#This Row],[Асфальт]]+Таблица17[[#This Row],[Бетон]]</f>
        <v>0.5</v>
      </c>
      <c r="F208" s="172">
        <v>0.2</v>
      </c>
      <c r="G208" s="173"/>
      <c r="H208" s="174">
        <v>0.3</v>
      </c>
      <c r="I208" s="175"/>
      <c r="J208" s="176"/>
      <c r="N208" s="8" t="b">
        <f>OR(Таблица17[[#This Row],[Щебень]]&gt;0,Таблица17[[#This Row],[Асфальт]]&gt;0,Таблица17[[#This Row],[Бетон]]&gt;0)</f>
        <v>1</v>
      </c>
      <c r="O208" s="8">
        <v>1</v>
      </c>
      <c r="U208" s="8">
        <f>Таблица17[[#This Row],[Бетон]]+Таблица17[[#This Row],[Асфальт]]+Таблица17[[#This Row],[Щебень]]</f>
        <v>0.3</v>
      </c>
      <c r="V208" s="168"/>
      <c r="Y208" s="8">
        <v>0.3</v>
      </c>
    </row>
    <row r="209" spans="1:26" ht="70.5" x14ac:dyDescent="0.35">
      <c r="A209" s="171">
        <v>212</v>
      </c>
      <c r="B209" s="171" t="s">
        <v>403</v>
      </c>
      <c r="C209" s="171" t="s">
        <v>404</v>
      </c>
      <c r="D209" s="171" t="s">
        <v>547</v>
      </c>
      <c r="E209" s="171">
        <f>Таблица17[[#This Row],[Грунт]]+Таблица17[[#This Row],[Щебень]]+Таблица17[[#This Row],[Асфальт]]+Таблица17[[#This Row],[Бетон]]</f>
        <v>2.6</v>
      </c>
      <c r="F209" s="172">
        <v>1.6</v>
      </c>
      <c r="G209" s="173"/>
      <c r="H209" s="174">
        <v>1</v>
      </c>
      <c r="I209" s="175"/>
      <c r="J209" s="176" t="s">
        <v>803</v>
      </c>
      <c r="N209" s="8" t="b">
        <f>OR(Таблица17[[#This Row],[Щебень]]&gt;0,Таблица17[[#This Row],[Асфальт]]&gt;0,Таблица17[[#This Row],[Бетон]]&gt;0)</f>
        <v>1</v>
      </c>
      <c r="O209" s="8">
        <v>1</v>
      </c>
      <c r="U209" s="8">
        <f>Таблица17[[#This Row],[Бетон]]+Таблица17[[#This Row],[Асфальт]]+Таблица17[[#This Row],[Щебень]]</f>
        <v>1</v>
      </c>
      <c r="V209" s="168"/>
      <c r="Z209" s="8">
        <v>1</v>
      </c>
    </row>
    <row r="210" spans="1:26" ht="70.5" hidden="1" x14ac:dyDescent="0.35">
      <c r="A210" s="171">
        <v>213</v>
      </c>
      <c r="B210" s="171" t="s">
        <v>405</v>
      </c>
      <c r="C210" s="171" t="s">
        <v>406</v>
      </c>
      <c r="D210" s="171" t="s">
        <v>547</v>
      </c>
      <c r="E210" s="171">
        <f>Таблица17[[#This Row],[Грунт]]+Таблица17[[#This Row],[Щебень]]+Таблица17[[#This Row],[Асфальт]]+Таблица17[[#This Row],[Бетон]]</f>
        <v>0.6</v>
      </c>
      <c r="F210" s="172"/>
      <c r="G210" s="173">
        <v>0.6</v>
      </c>
      <c r="H210" s="174"/>
      <c r="I210" s="175"/>
      <c r="J210" s="176"/>
      <c r="N210" s="8" t="b">
        <f>OR(Таблица17[[#This Row],[Щебень]]&gt;0,Таблица17[[#This Row],[Асфальт]]&gt;0,Таблица17[[#This Row],[Бетон]]&gt;0)</f>
        <v>1</v>
      </c>
      <c r="O210" s="8">
        <v>1</v>
      </c>
      <c r="U210" s="8">
        <f>Таблица17[[#This Row],[Бетон]]+Таблица17[[#This Row],[Асфальт]]+Таблица17[[#This Row],[Щебень]]</f>
        <v>0.6</v>
      </c>
      <c r="V210" s="168"/>
    </row>
    <row r="211" spans="1:26" ht="70.5" hidden="1" x14ac:dyDescent="0.35">
      <c r="A211" s="171">
        <v>214</v>
      </c>
      <c r="B211" s="171" t="s">
        <v>407</v>
      </c>
      <c r="C211" s="171" t="s">
        <v>408</v>
      </c>
      <c r="D211" s="171" t="s">
        <v>547</v>
      </c>
      <c r="E211" s="171">
        <f>Таблица17[[#This Row],[Грунт]]+Таблица17[[#This Row],[Щебень]]+Таблица17[[#This Row],[Асфальт]]+Таблица17[[#This Row],[Бетон]]</f>
        <v>0.7</v>
      </c>
      <c r="F211" s="172">
        <v>0.7</v>
      </c>
      <c r="G211" s="173"/>
      <c r="H211" s="174"/>
      <c r="I211" s="175"/>
      <c r="J211" s="176"/>
      <c r="N211" s="8" t="b">
        <f>OR(Таблица17[[#This Row],[Щебень]]&gt;0,Таблица17[[#This Row],[Асфальт]]&gt;0,Таблица17[[#This Row],[Бетон]]&gt;0)</f>
        <v>0</v>
      </c>
      <c r="U211" s="8">
        <f>Таблица17[[#This Row],[Бетон]]+Таблица17[[#This Row],[Асфальт]]+Таблица17[[#This Row],[Щебень]]</f>
        <v>0</v>
      </c>
      <c r="V211" s="168"/>
    </row>
    <row r="212" spans="1:26" ht="70.5" x14ac:dyDescent="0.35">
      <c r="A212" s="171">
        <v>215</v>
      </c>
      <c r="B212" s="171" t="s">
        <v>409</v>
      </c>
      <c r="C212" s="171" t="s">
        <v>410</v>
      </c>
      <c r="D212" s="171" t="s">
        <v>547</v>
      </c>
      <c r="E212" s="171">
        <f>Таблица17[[#This Row],[Грунт]]+Таблица17[[#This Row],[Щебень]]+Таблица17[[#This Row],[Асфальт]]+Таблица17[[#This Row],[Бетон]]</f>
        <v>1</v>
      </c>
      <c r="F212" s="172">
        <v>0.5</v>
      </c>
      <c r="G212" s="173">
        <v>0.5</v>
      </c>
      <c r="H212" s="174"/>
      <c r="I212" s="175"/>
      <c r="J212" s="176" t="s">
        <v>802</v>
      </c>
      <c r="N212" s="8" t="b">
        <f>OR(Таблица17[[#This Row],[Щебень]]&gt;0,Таблица17[[#This Row],[Асфальт]]&gt;0,Таблица17[[#This Row],[Бетон]]&gt;0)</f>
        <v>1</v>
      </c>
      <c r="O212" s="8">
        <v>1</v>
      </c>
      <c r="U212" s="8">
        <f>Таблица17[[#This Row],[Бетон]]+Таблица17[[#This Row],[Асфальт]]+Таблица17[[#This Row],[Щебень]]</f>
        <v>0.5</v>
      </c>
      <c r="V212" s="168"/>
      <c r="Z212" s="8">
        <v>0.5</v>
      </c>
    </row>
    <row r="213" spans="1:26" ht="70.5" hidden="1" x14ac:dyDescent="0.35">
      <c r="A213" s="171">
        <v>216</v>
      </c>
      <c r="B213" s="171" t="s">
        <v>411</v>
      </c>
      <c r="C213" s="171" t="s">
        <v>412</v>
      </c>
      <c r="D213" s="171" t="s">
        <v>548</v>
      </c>
      <c r="E213" s="171">
        <f>Таблица17[[#This Row],[Грунт]]+Таблица17[[#This Row],[Щебень]]+Таблица17[[#This Row],[Асфальт]]+Таблица17[[#This Row],[Бетон]]</f>
        <v>4.9000000000000004</v>
      </c>
      <c r="F213" s="172">
        <v>0.3</v>
      </c>
      <c r="G213" s="173">
        <v>1.3</v>
      </c>
      <c r="H213" s="174">
        <v>3.3</v>
      </c>
      <c r="I213" s="175"/>
      <c r="J213" s="176"/>
      <c r="K213" s="10" t="s">
        <v>557</v>
      </c>
      <c r="N213" s="8" t="b">
        <f>OR(Таблица17[[#This Row],[Щебень]]&gt;0,Таблица17[[#This Row],[Асфальт]]&gt;0,Таблица17[[#This Row],[Бетон]]&gt;0)</f>
        <v>1</v>
      </c>
      <c r="O213" s="8">
        <v>1</v>
      </c>
      <c r="U213" s="8">
        <f>Таблица17[[#This Row],[Бетон]]+Таблица17[[#This Row],[Асфальт]]+Таблица17[[#This Row],[Щебень]]</f>
        <v>4.5999999999999996</v>
      </c>
      <c r="V213" s="168"/>
      <c r="Z213" s="8">
        <v>4.5999999999999996</v>
      </c>
    </row>
    <row r="214" spans="1:26" ht="70.5" hidden="1" x14ac:dyDescent="0.35">
      <c r="A214" s="171">
        <v>217</v>
      </c>
      <c r="B214" s="171" t="s">
        <v>413</v>
      </c>
      <c r="C214" s="171" t="s">
        <v>414</v>
      </c>
      <c r="D214" s="171" t="s">
        <v>548</v>
      </c>
      <c r="E214" s="171">
        <f>Таблица17[[#This Row],[Грунт]]+Таблица17[[#This Row],[Щебень]]+Таблица17[[#This Row],[Асфальт]]+Таблица17[[#This Row],[Бетон]]</f>
        <v>0.7</v>
      </c>
      <c r="F214" s="172"/>
      <c r="G214" s="173"/>
      <c r="H214" s="174">
        <v>0.7</v>
      </c>
      <c r="I214" s="175"/>
      <c r="J214" s="176"/>
      <c r="K214" s="8" t="s">
        <v>558</v>
      </c>
      <c r="N214" s="8" t="b">
        <f>OR(Таблица17[[#This Row],[Щебень]]&gt;0,Таблица17[[#This Row],[Асфальт]]&gt;0,Таблица17[[#This Row],[Бетон]]&gt;0)</f>
        <v>1</v>
      </c>
      <c r="O214" s="8">
        <v>1</v>
      </c>
      <c r="U214" s="8">
        <f>Таблица17[[#This Row],[Бетон]]+Таблица17[[#This Row],[Асфальт]]+Таблица17[[#This Row],[Щебень]]</f>
        <v>0.7</v>
      </c>
      <c r="V214" s="168"/>
      <c r="X214" s="8">
        <v>0.7</v>
      </c>
    </row>
    <row r="215" spans="1:26" ht="70.5" x14ac:dyDescent="0.35">
      <c r="A215" s="171">
        <v>218</v>
      </c>
      <c r="B215" s="171" t="s">
        <v>415</v>
      </c>
      <c r="C215" s="171" t="s">
        <v>416</v>
      </c>
      <c r="D215" s="171" t="s">
        <v>548</v>
      </c>
      <c r="E215" s="171">
        <f>Таблица17[[#This Row],[Грунт]]+Таблица17[[#This Row],[Щебень]]+Таблица17[[#This Row],[Асфальт]]+Таблица17[[#This Row],[Бетон]]</f>
        <v>1.7000000000000002</v>
      </c>
      <c r="F215" s="172">
        <v>1.3</v>
      </c>
      <c r="G215" s="173">
        <v>0.4</v>
      </c>
      <c r="H215" s="174"/>
      <c r="I215" s="175"/>
      <c r="J215" s="176" t="s">
        <v>801</v>
      </c>
      <c r="N215" s="8" t="b">
        <f>OR(Таблица17[[#This Row],[Щебень]]&gt;0,Таблица17[[#This Row],[Асфальт]]&gt;0,Таблица17[[#This Row],[Бетон]]&gt;0)</f>
        <v>1</v>
      </c>
      <c r="O215" s="8">
        <v>1</v>
      </c>
      <c r="U215" s="8">
        <f>Таблица17[[#This Row],[Бетон]]+Таблица17[[#This Row],[Асфальт]]+Таблица17[[#This Row],[Щебень]]</f>
        <v>0.4</v>
      </c>
      <c r="V215" s="168"/>
      <c r="X215" s="8">
        <v>0.4</v>
      </c>
    </row>
    <row r="216" spans="1:26" ht="70.5" hidden="1" x14ac:dyDescent="0.35">
      <c r="A216" s="171">
        <v>219</v>
      </c>
      <c r="B216" s="171" t="s">
        <v>417</v>
      </c>
      <c r="C216" s="171" t="s">
        <v>418</v>
      </c>
      <c r="D216" s="171" t="s">
        <v>548</v>
      </c>
      <c r="E216" s="171">
        <f>Таблица17[[#This Row],[Грунт]]+Таблица17[[#This Row],[Щебень]]+Таблица17[[#This Row],[Асфальт]]+Таблица17[[#This Row],[Бетон]]</f>
        <v>0.5</v>
      </c>
      <c r="F216" s="172">
        <v>0.5</v>
      </c>
      <c r="G216" s="173"/>
      <c r="H216" s="174"/>
      <c r="I216" s="175"/>
      <c r="J216" s="176"/>
      <c r="N216" s="8" t="b">
        <f>OR(Таблица17[[#This Row],[Щебень]]&gt;0,Таблица17[[#This Row],[Асфальт]]&gt;0,Таблица17[[#This Row],[Бетон]]&gt;0)</f>
        <v>0</v>
      </c>
      <c r="U216" s="8">
        <f>Таблица17[[#This Row],[Бетон]]+Таблица17[[#This Row],[Асфальт]]+Таблица17[[#This Row],[Щебень]]</f>
        <v>0</v>
      </c>
      <c r="V216" s="168"/>
    </row>
    <row r="217" spans="1:26" ht="70.5" hidden="1" x14ac:dyDescent="0.35">
      <c r="A217" s="171">
        <v>220</v>
      </c>
      <c r="B217" s="171" t="s">
        <v>419</v>
      </c>
      <c r="C217" s="171" t="s">
        <v>420</v>
      </c>
      <c r="D217" s="171" t="s">
        <v>548</v>
      </c>
      <c r="E217" s="171">
        <f>Таблица17[[#This Row],[Грунт]]+Таблица17[[#This Row],[Щебень]]+Таблица17[[#This Row],[Асфальт]]+Таблица17[[#This Row],[Бетон]]</f>
        <v>0.7</v>
      </c>
      <c r="F217" s="172">
        <v>0.7</v>
      </c>
      <c r="G217" s="173"/>
      <c r="H217" s="174"/>
      <c r="I217" s="174"/>
      <c r="J217" s="176"/>
      <c r="N217" s="8" t="b">
        <f>OR(Таблица17[[#This Row],[Щебень]]&gt;0,Таблица17[[#This Row],[Асфальт]]&gt;0,Таблица17[[#This Row],[Бетон]]&gt;0)</f>
        <v>0</v>
      </c>
      <c r="U217" s="8">
        <f>Таблица17[[#This Row],[Бетон]]+Таблица17[[#This Row],[Асфальт]]+Таблица17[[#This Row],[Щебень]]</f>
        <v>0</v>
      </c>
      <c r="V217" s="168"/>
    </row>
    <row r="218" spans="1:26" ht="70.5" x14ac:dyDescent="0.35">
      <c r="A218" s="171">
        <v>221</v>
      </c>
      <c r="B218" s="171" t="s">
        <v>421</v>
      </c>
      <c r="C218" s="171" t="s">
        <v>422</v>
      </c>
      <c r="D218" s="171" t="s">
        <v>548</v>
      </c>
      <c r="E218" s="171">
        <f>Таблица17[[#This Row],[Грунт]]+Таблица17[[#This Row],[Щебень]]+Таблица17[[#This Row],[Асфальт]]+Таблица17[[#This Row],[Бетон]]</f>
        <v>0.2</v>
      </c>
      <c r="F218" s="172"/>
      <c r="G218" s="173">
        <v>0.2</v>
      </c>
      <c r="H218" s="174"/>
      <c r="I218" s="175"/>
      <c r="J218" s="176" t="s">
        <v>801</v>
      </c>
      <c r="N218" s="8" t="b">
        <f>OR(Таблица17[[#This Row],[Щебень]]&gt;0,Таблица17[[#This Row],[Асфальт]]&gt;0,Таблица17[[#This Row],[Бетон]]&gt;0)</f>
        <v>1</v>
      </c>
      <c r="O218" s="8">
        <v>1</v>
      </c>
      <c r="U218" s="8">
        <f>Таблица17[[#This Row],[Бетон]]+Таблица17[[#This Row],[Асфальт]]+Таблица17[[#This Row],[Щебень]]</f>
        <v>0.2</v>
      </c>
      <c r="V218" s="168"/>
      <c r="X218" s="8">
        <v>0.2</v>
      </c>
    </row>
    <row r="219" spans="1:26" ht="70.5" hidden="1" x14ac:dyDescent="0.35">
      <c r="A219" s="171">
        <v>222</v>
      </c>
      <c r="B219" s="171" t="s">
        <v>423</v>
      </c>
      <c r="C219" s="171" t="s">
        <v>424</v>
      </c>
      <c r="D219" s="171" t="s">
        <v>548</v>
      </c>
      <c r="E219" s="171">
        <f>Таблица17[[#This Row],[Грунт]]+Таблица17[[#This Row],[Щебень]]+Таблица17[[#This Row],[Асфальт]]+Таблица17[[#This Row],[Бетон]]</f>
        <v>0.4</v>
      </c>
      <c r="F219" s="172">
        <v>0.4</v>
      </c>
      <c r="G219" s="173"/>
      <c r="H219" s="174"/>
      <c r="I219" s="175"/>
      <c r="J219" s="176"/>
      <c r="N219" s="8" t="b">
        <f>OR(Таблица17[[#This Row],[Щебень]]&gt;0,Таблица17[[#This Row],[Асфальт]]&gt;0,Таблица17[[#This Row],[Бетон]]&gt;0)</f>
        <v>0</v>
      </c>
      <c r="U219" s="8">
        <f>Таблица17[[#This Row],[Бетон]]+Таблица17[[#This Row],[Асфальт]]+Таблица17[[#This Row],[Щебень]]</f>
        <v>0</v>
      </c>
      <c r="V219" s="168"/>
    </row>
    <row r="220" spans="1:26" ht="70.5" x14ac:dyDescent="0.35">
      <c r="A220" s="171">
        <v>223</v>
      </c>
      <c r="B220" s="171" t="s">
        <v>425</v>
      </c>
      <c r="C220" s="171" t="s">
        <v>426</v>
      </c>
      <c r="D220" s="171" t="s">
        <v>548</v>
      </c>
      <c r="E220" s="171">
        <f>Таблица17[[#This Row],[Грунт]]+Таблица17[[#This Row],[Щебень]]+Таблица17[[#This Row],[Асфальт]]+Таблица17[[#This Row],[Бетон]]</f>
        <v>4.5999999999999996</v>
      </c>
      <c r="F220" s="172">
        <v>3</v>
      </c>
      <c r="G220" s="173"/>
      <c r="H220" s="174">
        <v>1.6</v>
      </c>
      <c r="I220" s="175"/>
      <c r="J220" s="176" t="s">
        <v>801</v>
      </c>
      <c r="K220" s="10" t="s">
        <v>557</v>
      </c>
      <c r="N220" s="8" t="b">
        <f>OR(Таблица17[[#This Row],[Щебень]]&gt;0,Таблица17[[#This Row],[Асфальт]]&gt;0,Таблица17[[#This Row],[Бетон]]&gt;0)</f>
        <v>1</v>
      </c>
      <c r="O220" s="8">
        <v>1</v>
      </c>
      <c r="U220" s="8">
        <f>Таблица17[[#This Row],[Бетон]]+Таблица17[[#This Row],[Асфальт]]+Таблица17[[#This Row],[Щебень]]</f>
        <v>1.6</v>
      </c>
      <c r="V220" s="168"/>
      <c r="X220" s="8">
        <v>1.6</v>
      </c>
    </row>
    <row r="221" spans="1:26" ht="70.5" hidden="1" x14ac:dyDescent="0.35">
      <c r="A221" s="171">
        <v>224</v>
      </c>
      <c r="B221" s="171" t="s">
        <v>427</v>
      </c>
      <c r="C221" s="171" t="s">
        <v>428</v>
      </c>
      <c r="D221" s="171" t="s">
        <v>548</v>
      </c>
      <c r="E221" s="171">
        <f>Таблица17[[#This Row],[Грунт]]+Таблица17[[#This Row],[Щебень]]+Таблица17[[#This Row],[Асфальт]]+Таблица17[[#This Row],[Бетон]]</f>
        <v>0.9</v>
      </c>
      <c r="F221" s="172">
        <v>0.9</v>
      </c>
      <c r="G221" s="173">
        <v>0</v>
      </c>
      <c r="H221" s="174"/>
      <c r="I221" s="175"/>
      <c r="J221" s="176"/>
      <c r="N221" s="8" t="b">
        <f>OR(Таблица17[[#This Row],[Щебень]]&gt;0,Таблица17[[#This Row],[Асфальт]]&gt;0,Таблица17[[#This Row],[Бетон]]&gt;0)</f>
        <v>0</v>
      </c>
      <c r="O221" s="8">
        <v>1</v>
      </c>
      <c r="U221" s="8">
        <f>Таблица17[[#This Row],[Бетон]]+Таблица17[[#This Row],[Асфальт]]+Таблица17[[#This Row],[Щебень]]</f>
        <v>0</v>
      </c>
      <c r="V221" s="168"/>
    </row>
    <row r="222" spans="1:26" ht="70.5" hidden="1" x14ac:dyDescent="0.35">
      <c r="A222" s="171">
        <v>225</v>
      </c>
      <c r="B222" s="171" t="s">
        <v>429</v>
      </c>
      <c r="C222" s="171" t="s">
        <v>430</v>
      </c>
      <c r="D222" s="171" t="s">
        <v>548</v>
      </c>
      <c r="E222" s="171">
        <f>Таблица17[[#This Row],[Грунт]]+Таблица17[[#This Row],[Щебень]]+Таблица17[[#This Row],[Асфальт]]+Таблица17[[#This Row],[Бетон]]</f>
        <v>0.3</v>
      </c>
      <c r="F222" s="172"/>
      <c r="G222" s="173"/>
      <c r="H222" s="174">
        <v>0.3</v>
      </c>
      <c r="I222" s="175"/>
      <c r="J222" s="176"/>
      <c r="N222" s="8" t="b">
        <f>OR(Таблица17[[#This Row],[Щебень]]&gt;0,Таблица17[[#This Row],[Асфальт]]&gt;0,Таблица17[[#This Row],[Бетон]]&gt;0)</f>
        <v>1</v>
      </c>
      <c r="O222" s="8">
        <v>1</v>
      </c>
      <c r="U222" s="8">
        <f>Таблица17[[#This Row],[Бетон]]+Таблица17[[#This Row],[Асфальт]]+Таблица17[[#This Row],[Щебень]]</f>
        <v>0.3</v>
      </c>
      <c r="V222" s="168"/>
    </row>
    <row r="223" spans="1:26" ht="70.5" hidden="1" x14ac:dyDescent="0.35">
      <c r="A223" s="171">
        <v>226</v>
      </c>
      <c r="B223" s="171" t="s">
        <v>431</v>
      </c>
      <c r="C223" s="171" t="s">
        <v>432</v>
      </c>
      <c r="D223" s="171" t="s">
        <v>548</v>
      </c>
      <c r="E223" s="171">
        <f>Таблица17[[#This Row],[Грунт]]+Таблица17[[#This Row],[Щебень]]+Таблица17[[#This Row],[Асфальт]]+Таблица17[[#This Row],[Бетон]]</f>
        <v>0.5</v>
      </c>
      <c r="F223" s="172">
        <v>0.5</v>
      </c>
      <c r="G223" s="173"/>
      <c r="H223" s="174"/>
      <c r="I223" s="175"/>
      <c r="J223" s="176"/>
      <c r="N223" s="8" t="b">
        <f>OR(Таблица17[[#This Row],[Щебень]]&gt;0,Таблица17[[#This Row],[Асфальт]]&gt;0,Таблица17[[#This Row],[Бетон]]&gt;0)</f>
        <v>0</v>
      </c>
      <c r="U223" s="8">
        <f>Таблица17[[#This Row],[Бетон]]+Таблица17[[#This Row],[Асфальт]]+Таблица17[[#This Row],[Щебень]]</f>
        <v>0</v>
      </c>
      <c r="V223" s="168"/>
    </row>
    <row r="224" spans="1:26" ht="70.5" hidden="1" x14ac:dyDescent="0.35">
      <c r="A224" s="171">
        <v>227</v>
      </c>
      <c r="B224" s="171" t="s">
        <v>433</v>
      </c>
      <c r="C224" s="171" t="s">
        <v>434</v>
      </c>
      <c r="D224" s="171" t="s">
        <v>549</v>
      </c>
      <c r="E224" s="171">
        <f>Таблица17[[#This Row],[Грунт]]+Таблица17[[#This Row],[Щебень]]+Таблица17[[#This Row],[Асфальт]]+Таблица17[[#This Row],[Бетон]]</f>
        <v>6.5</v>
      </c>
      <c r="F224" s="172"/>
      <c r="G224" s="173"/>
      <c r="H224" s="174">
        <v>6.5</v>
      </c>
      <c r="I224" s="175"/>
      <c r="J224" s="176"/>
      <c r="K224" s="10" t="s">
        <v>557</v>
      </c>
      <c r="N224" s="8" t="b">
        <f>OR(Таблица17[[#This Row],[Щебень]]&gt;0,Таблица17[[#This Row],[Асфальт]]&gt;0,Таблица17[[#This Row],[Бетон]]&gt;0)</f>
        <v>1</v>
      </c>
      <c r="O224" s="8">
        <v>1</v>
      </c>
      <c r="U224" s="8">
        <f>Таблица17[[#This Row],[Бетон]]+Таблица17[[#This Row],[Асфальт]]+Таблица17[[#This Row],[Щебень]]</f>
        <v>6.5</v>
      </c>
      <c r="V224" s="168"/>
    </row>
    <row r="225" spans="1:24" ht="70.5" hidden="1" x14ac:dyDescent="0.35">
      <c r="A225" s="171">
        <v>228</v>
      </c>
      <c r="B225" s="171" t="s">
        <v>435</v>
      </c>
      <c r="C225" s="171" t="s">
        <v>436</v>
      </c>
      <c r="D225" s="171" t="s">
        <v>549</v>
      </c>
      <c r="E225" s="171">
        <f>Таблица17[[#This Row],[Грунт]]+Таблица17[[#This Row],[Щебень]]+Таблица17[[#This Row],[Асфальт]]+Таблица17[[#This Row],[Бетон]]</f>
        <v>2</v>
      </c>
      <c r="F225" s="172">
        <v>2</v>
      </c>
      <c r="G225" s="173"/>
      <c r="H225" s="174"/>
      <c r="I225" s="175"/>
      <c r="J225" s="176"/>
      <c r="N225" s="8" t="b">
        <f>OR(Таблица17[[#This Row],[Щебень]]&gt;0,Таблица17[[#This Row],[Асфальт]]&gt;0,Таблица17[[#This Row],[Бетон]]&gt;0)</f>
        <v>0</v>
      </c>
      <c r="U225" s="8">
        <f>Таблица17[[#This Row],[Бетон]]+Таблица17[[#This Row],[Асфальт]]+Таблица17[[#This Row],[Щебень]]</f>
        <v>0</v>
      </c>
      <c r="V225" s="168"/>
    </row>
    <row r="226" spans="1:24" ht="70.5" hidden="1" x14ac:dyDescent="0.35">
      <c r="A226" s="171">
        <v>229</v>
      </c>
      <c r="B226" s="171" t="s">
        <v>437</v>
      </c>
      <c r="C226" s="171" t="s">
        <v>438</v>
      </c>
      <c r="D226" s="171" t="s">
        <v>549</v>
      </c>
      <c r="E226" s="171">
        <f>Таблица17[[#This Row],[Грунт]]+Таблица17[[#This Row],[Щебень]]+Таблица17[[#This Row],[Асфальт]]+Таблица17[[#This Row],[Бетон]]</f>
        <v>1</v>
      </c>
      <c r="F226" s="172">
        <v>1</v>
      </c>
      <c r="G226" s="173"/>
      <c r="H226" s="174"/>
      <c r="I226" s="175"/>
      <c r="J226" s="176"/>
      <c r="N226" s="8" t="b">
        <f>OR(Таблица17[[#This Row],[Щебень]]&gt;0,Таблица17[[#This Row],[Асфальт]]&gt;0,Таблица17[[#This Row],[Бетон]]&gt;0)</f>
        <v>0</v>
      </c>
      <c r="U226" s="8">
        <f>Таблица17[[#This Row],[Бетон]]+Таблица17[[#This Row],[Асфальт]]+Таблица17[[#This Row],[Щебень]]</f>
        <v>0</v>
      </c>
      <c r="V226" s="168"/>
    </row>
    <row r="227" spans="1:24" ht="70.5" hidden="1" x14ac:dyDescent="0.35">
      <c r="A227" s="171">
        <v>230</v>
      </c>
      <c r="B227" s="171" t="s">
        <v>439</v>
      </c>
      <c r="C227" s="171" t="s">
        <v>440</v>
      </c>
      <c r="D227" s="171" t="s">
        <v>549</v>
      </c>
      <c r="E227" s="171">
        <f>Таблица17[[#This Row],[Грунт]]+Таблица17[[#This Row],[Щебень]]+Таблица17[[#This Row],[Асфальт]]+Таблица17[[#This Row],[Бетон]]</f>
        <v>1</v>
      </c>
      <c r="F227" s="172">
        <v>1</v>
      </c>
      <c r="G227" s="173"/>
      <c r="H227" s="174"/>
      <c r="I227" s="175"/>
      <c r="J227" s="176"/>
      <c r="N227" s="8" t="b">
        <f>OR(Таблица17[[#This Row],[Щебень]]&gt;0,Таблица17[[#This Row],[Асфальт]]&gt;0,Таблица17[[#This Row],[Бетон]]&gt;0)</f>
        <v>0</v>
      </c>
      <c r="U227" s="8">
        <f>Таблица17[[#This Row],[Бетон]]+Таблица17[[#This Row],[Асфальт]]+Таблица17[[#This Row],[Щебень]]</f>
        <v>0</v>
      </c>
      <c r="V227" s="168"/>
    </row>
    <row r="228" spans="1:24" ht="70.5" hidden="1" x14ac:dyDescent="0.35">
      <c r="A228" s="171">
        <v>231</v>
      </c>
      <c r="B228" s="171" t="s">
        <v>441</v>
      </c>
      <c r="C228" s="171" t="s">
        <v>442</v>
      </c>
      <c r="D228" s="171" t="s">
        <v>549</v>
      </c>
      <c r="E228" s="171">
        <f>Таблица17[[#This Row],[Грунт]]+Таблица17[[#This Row],[Щебень]]+Таблица17[[#This Row],[Асфальт]]+Таблица17[[#This Row],[Бетон]]</f>
        <v>0.6</v>
      </c>
      <c r="F228" s="172">
        <v>0.6</v>
      </c>
      <c r="G228" s="173"/>
      <c r="H228" s="174"/>
      <c r="I228" s="175"/>
      <c r="J228" s="176"/>
      <c r="N228" s="8" t="b">
        <f>OR(Таблица17[[#This Row],[Щебень]]&gt;0,Таблица17[[#This Row],[Асфальт]]&gt;0,Таблица17[[#This Row],[Бетон]]&gt;0)</f>
        <v>0</v>
      </c>
      <c r="U228" s="8">
        <f>Таблица17[[#This Row],[Бетон]]+Таблица17[[#This Row],[Асфальт]]+Таблица17[[#This Row],[Щебень]]</f>
        <v>0</v>
      </c>
      <c r="V228" s="168"/>
    </row>
    <row r="229" spans="1:24" ht="70.5" hidden="1" x14ac:dyDescent="0.35">
      <c r="A229" s="171">
        <v>232</v>
      </c>
      <c r="B229" s="171" t="s">
        <v>443</v>
      </c>
      <c r="C229" s="171" t="s">
        <v>444</v>
      </c>
      <c r="D229" s="171" t="s">
        <v>549</v>
      </c>
      <c r="E229" s="171">
        <f>Таблица17[[#This Row],[Грунт]]+Таблица17[[#This Row],[Щебень]]+Таблица17[[#This Row],[Асфальт]]+Таблица17[[#This Row],[Бетон]]</f>
        <v>1</v>
      </c>
      <c r="F229" s="172">
        <v>1</v>
      </c>
      <c r="G229" s="173"/>
      <c r="H229" s="174"/>
      <c r="I229" s="175"/>
      <c r="J229" s="176"/>
      <c r="N229" s="8" t="b">
        <f>OR(Таблица17[[#This Row],[Щебень]]&gt;0,Таблица17[[#This Row],[Асфальт]]&gt;0,Таблица17[[#This Row],[Бетон]]&gt;0)</f>
        <v>0</v>
      </c>
      <c r="U229" s="8">
        <f>Таблица17[[#This Row],[Бетон]]+Таблица17[[#This Row],[Асфальт]]+Таблица17[[#This Row],[Щебень]]</f>
        <v>0</v>
      </c>
      <c r="V229" s="168"/>
    </row>
    <row r="230" spans="1:24" ht="70.5" hidden="1" x14ac:dyDescent="0.35">
      <c r="A230" s="171">
        <v>233</v>
      </c>
      <c r="B230" s="171" t="s">
        <v>445</v>
      </c>
      <c r="C230" s="171" t="s">
        <v>446</v>
      </c>
      <c r="D230" s="171" t="s">
        <v>549</v>
      </c>
      <c r="E230" s="171">
        <f>Таблица17[[#This Row],[Грунт]]+Таблица17[[#This Row],[Щебень]]+Таблица17[[#This Row],[Асфальт]]+Таблица17[[#This Row],[Бетон]]</f>
        <v>0.5</v>
      </c>
      <c r="F230" s="172">
        <v>0.5</v>
      </c>
      <c r="G230" s="173"/>
      <c r="H230" s="174"/>
      <c r="I230" s="175"/>
      <c r="J230" s="176"/>
      <c r="N230" s="8" t="b">
        <f>OR(Таблица17[[#This Row],[Щебень]]&gt;0,Таблица17[[#This Row],[Асфальт]]&gt;0,Таблица17[[#This Row],[Бетон]]&gt;0)</f>
        <v>0</v>
      </c>
      <c r="U230" s="8">
        <f>Таблица17[[#This Row],[Бетон]]+Таблица17[[#This Row],[Асфальт]]+Таблица17[[#This Row],[Щебень]]</f>
        <v>0</v>
      </c>
      <c r="V230" s="168"/>
    </row>
    <row r="231" spans="1:24" ht="70.5" hidden="1" x14ac:dyDescent="0.35">
      <c r="A231" s="171">
        <v>234</v>
      </c>
      <c r="B231" s="171" t="s">
        <v>447</v>
      </c>
      <c r="C231" s="171" t="s">
        <v>448</v>
      </c>
      <c r="D231" s="171" t="s">
        <v>549</v>
      </c>
      <c r="E231" s="171">
        <f>Таблица17[[#This Row],[Грунт]]+Таблица17[[#This Row],[Щебень]]+Таблица17[[#This Row],[Асфальт]]+Таблица17[[#This Row],[Бетон]]</f>
        <v>3</v>
      </c>
      <c r="F231" s="172">
        <v>1.7</v>
      </c>
      <c r="G231" s="173">
        <v>0.3</v>
      </c>
      <c r="H231" s="174">
        <v>1</v>
      </c>
      <c r="I231" s="175"/>
      <c r="J231" s="176"/>
      <c r="N231" s="8" t="b">
        <f>OR(Таблица17[[#This Row],[Щебень]]&gt;0,Таблица17[[#This Row],[Асфальт]]&gt;0,Таблица17[[#This Row],[Бетон]]&gt;0)</f>
        <v>1</v>
      </c>
      <c r="O231" s="8">
        <v>1</v>
      </c>
      <c r="U231" s="8">
        <f>Таблица17[[#This Row],[Бетон]]+Таблица17[[#This Row],[Асфальт]]+Таблица17[[#This Row],[Щебень]]</f>
        <v>1.3</v>
      </c>
      <c r="V231" s="168"/>
      <c r="X231" s="8">
        <v>1</v>
      </c>
    </row>
    <row r="232" spans="1:24" ht="70.5" hidden="1" x14ac:dyDescent="0.35">
      <c r="A232" s="171">
        <v>236</v>
      </c>
      <c r="B232" s="171" t="s">
        <v>451</v>
      </c>
      <c r="C232" s="171" t="s">
        <v>452</v>
      </c>
      <c r="D232" s="171" t="s">
        <v>550</v>
      </c>
      <c r="E232" s="171">
        <f>Таблица17[[#This Row],[Грунт]]+Таблица17[[#This Row],[Щебень]]+Таблица17[[#This Row],[Асфальт]]+Таблица17[[#This Row],[Бетон]]</f>
        <v>1.65</v>
      </c>
      <c r="F232" s="172">
        <v>1.65</v>
      </c>
      <c r="G232" s="173"/>
      <c r="H232" s="174"/>
      <c r="I232" s="175"/>
      <c r="J232" s="176"/>
      <c r="N232" s="8" t="b">
        <f>OR(Таблица17[[#This Row],[Щебень]]&gt;0,Таблица17[[#This Row],[Асфальт]]&gt;0,Таблица17[[#This Row],[Бетон]]&gt;0)</f>
        <v>0</v>
      </c>
      <c r="U232" s="8">
        <f>Таблица17[[#This Row],[Бетон]]+Таблица17[[#This Row],[Асфальт]]+Таблица17[[#This Row],[Щебень]]</f>
        <v>0</v>
      </c>
      <c r="V232" s="168"/>
    </row>
    <row r="233" spans="1:24" ht="70.5" hidden="1" x14ac:dyDescent="0.35">
      <c r="A233" s="171">
        <v>237</v>
      </c>
      <c r="B233" s="171" t="s">
        <v>453</v>
      </c>
      <c r="C233" s="171" t="s">
        <v>454</v>
      </c>
      <c r="D233" s="171" t="s">
        <v>550</v>
      </c>
      <c r="E233" s="171">
        <f>Таблица17[[#This Row],[Грунт]]+Таблица17[[#This Row],[Щебень]]+Таблица17[[#This Row],[Асфальт]]+Таблица17[[#This Row],[Бетон]]</f>
        <v>1.7</v>
      </c>
      <c r="F233" s="172"/>
      <c r="G233" s="173">
        <v>1.7</v>
      </c>
      <c r="H233" s="174"/>
      <c r="I233" s="175"/>
      <c r="J233" s="176"/>
      <c r="K233" s="10" t="s">
        <v>557</v>
      </c>
      <c r="N233" s="8" t="b">
        <f>OR(Таблица17[[#This Row],[Щебень]]&gt;0,Таблица17[[#This Row],[Асфальт]]&gt;0,Таблица17[[#This Row],[Бетон]]&gt;0)</f>
        <v>1</v>
      </c>
      <c r="O233" s="8">
        <v>1</v>
      </c>
      <c r="U233" s="8">
        <f>Таблица17[[#This Row],[Бетон]]+Таблица17[[#This Row],[Асфальт]]+Таблица17[[#This Row],[Щебень]]</f>
        <v>1.7</v>
      </c>
      <c r="V233" s="168"/>
    </row>
    <row r="234" spans="1:24" ht="70.5" hidden="1" x14ac:dyDescent="0.35">
      <c r="A234" s="171">
        <v>238</v>
      </c>
      <c r="B234" s="171" t="s">
        <v>455</v>
      </c>
      <c r="C234" s="171" t="s">
        <v>456</v>
      </c>
      <c r="D234" s="171" t="s">
        <v>550</v>
      </c>
      <c r="E234" s="171">
        <f>Таблица17[[#This Row],[Грунт]]+Таблица17[[#This Row],[Щебень]]+Таблица17[[#This Row],[Асфальт]]+Таблица17[[#This Row],[Бетон]]</f>
        <v>1.25</v>
      </c>
      <c r="F234" s="172">
        <v>1.25</v>
      </c>
      <c r="G234" s="173"/>
      <c r="H234" s="174"/>
      <c r="I234" s="175"/>
      <c r="J234" s="176"/>
      <c r="N234" s="8" t="b">
        <f>OR(Таблица17[[#This Row],[Щебень]]&gt;0,Таблица17[[#This Row],[Асфальт]]&gt;0,Таблица17[[#This Row],[Бетон]]&gt;0)</f>
        <v>0</v>
      </c>
      <c r="U234" s="8">
        <f>Таблица17[[#This Row],[Бетон]]+Таблица17[[#This Row],[Асфальт]]+Таблица17[[#This Row],[Щебень]]</f>
        <v>0</v>
      </c>
      <c r="V234" s="168"/>
    </row>
    <row r="235" spans="1:24" ht="70.5" x14ac:dyDescent="0.35">
      <c r="A235" s="171">
        <v>239</v>
      </c>
      <c r="B235" s="171" t="s">
        <v>457</v>
      </c>
      <c r="C235" s="171" t="s">
        <v>458</v>
      </c>
      <c r="D235" s="171" t="s">
        <v>551</v>
      </c>
      <c r="E235" s="171">
        <f>Таблица17[[#This Row],[Грунт]]+Таблица17[[#This Row],[Щебень]]+Таблица17[[#This Row],[Асфальт]]+Таблица17[[#This Row],[Бетон]]</f>
        <v>5.0999999999999996</v>
      </c>
      <c r="F235" s="172">
        <v>0.4</v>
      </c>
      <c r="G235" s="173">
        <v>3</v>
      </c>
      <c r="H235" s="174">
        <v>1.7</v>
      </c>
      <c r="I235" s="175"/>
      <c r="J235" s="176">
        <v>1.5</v>
      </c>
      <c r="K235" s="10" t="s">
        <v>557</v>
      </c>
      <c r="N235" s="8" t="b">
        <f>OR(Таблица17[[#This Row],[Щебень]]&gt;0,Таблица17[[#This Row],[Асфальт]]&gt;0,Таблица17[[#This Row],[Бетон]]&gt;0)</f>
        <v>1</v>
      </c>
      <c r="O235" s="8">
        <v>1</v>
      </c>
      <c r="U235" s="8">
        <f>Таблица17[[#This Row],[Бетон]]+Таблица17[[#This Row],[Асфальт]]+Таблица17[[#This Row],[Щебень]]-1.5</f>
        <v>3.2</v>
      </c>
      <c r="V235" s="168"/>
      <c r="X235" s="8">
        <v>3.2</v>
      </c>
    </row>
    <row r="236" spans="1:24" ht="70.5" hidden="1" x14ac:dyDescent="0.35">
      <c r="A236" s="171">
        <v>240</v>
      </c>
      <c r="B236" s="171" t="s">
        <v>459</v>
      </c>
      <c r="C236" s="171" t="s">
        <v>460</v>
      </c>
      <c r="D236" s="171" t="s">
        <v>551</v>
      </c>
      <c r="E236" s="171">
        <f>Таблица17[[#This Row],[Грунт]]+Таблица17[[#This Row],[Щебень]]+Таблица17[[#This Row],[Асфальт]]+Таблица17[[#This Row],[Бетон]]</f>
        <v>2.5</v>
      </c>
      <c r="F236" s="172">
        <v>1.8</v>
      </c>
      <c r="G236" s="173">
        <v>0.7</v>
      </c>
      <c r="H236" s="174"/>
      <c r="I236" s="175"/>
      <c r="J236" s="176"/>
      <c r="N236" s="8" t="b">
        <f>OR(Таблица17[[#This Row],[Щебень]]&gt;0,Таблица17[[#This Row],[Асфальт]]&gt;0,Таблица17[[#This Row],[Бетон]]&gt;0)</f>
        <v>1</v>
      </c>
      <c r="U236" s="8">
        <f>Таблица17[[#This Row],[Бетон]]+Таблица17[[#This Row],[Асфальт]]+Таблица17[[#This Row],[Щебень]]</f>
        <v>0.7</v>
      </c>
      <c r="V236" s="168"/>
    </row>
    <row r="237" spans="1:24" ht="70.5" hidden="1" x14ac:dyDescent="0.35">
      <c r="A237" s="171">
        <v>241</v>
      </c>
      <c r="B237" s="171" t="s">
        <v>461</v>
      </c>
      <c r="C237" s="171" t="s">
        <v>462</v>
      </c>
      <c r="D237" s="171" t="s">
        <v>551</v>
      </c>
      <c r="E237" s="171">
        <f>Таблица17[[#This Row],[Грунт]]+Таблица17[[#This Row],[Щебень]]+Таблица17[[#This Row],[Асфальт]]+Таблица17[[#This Row],[Бетон]]</f>
        <v>0.7</v>
      </c>
      <c r="F237" s="172">
        <v>0.7</v>
      </c>
      <c r="G237" s="173"/>
      <c r="H237" s="174"/>
      <c r="I237" s="175"/>
      <c r="J237" s="176"/>
      <c r="N237" s="8" t="b">
        <f>OR(Таблица17[[#This Row],[Щебень]]&gt;0,Таблица17[[#This Row],[Асфальт]]&gt;0,Таблица17[[#This Row],[Бетон]]&gt;0)</f>
        <v>0</v>
      </c>
      <c r="U237" s="8">
        <f>Таблица17[[#This Row],[Бетон]]+Таблица17[[#This Row],[Асфальт]]+Таблица17[[#This Row],[Щебень]]</f>
        <v>0</v>
      </c>
      <c r="V237" s="168"/>
    </row>
    <row r="238" spans="1:24" ht="70.5" hidden="1" x14ac:dyDescent="0.35">
      <c r="A238" s="171">
        <v>242</v>
      </c>
      <c r="B238" s="171" t="s">
        <v>463</v>
      </c>
      <c r="C238" s="171" t="s">
        <v>464</v>
      </c>
      <c r="D238" s="171" t="s">
        <v>551</v>
      </c>
      <c r="E238" s="171">
        <f>Таблица17[[#This Row],[Грунт]]+Таблица17[[#This Row],[Щебень]]+Таблица17[[#This Row],[Асфальт]]+Таблица17[[#This Row],[Бетон]]</f>
        <v>1.7</v>
      </c>
      <c r="F238" s="172">
        <v>1.7</v>
      </c>
      <c r="G238" s="173"/>
      <c r="H238" s="174"/>
      <c r="I238" s="175"/>
      <c r="J238" s="176"/>
      <c r="N238" s="8" t="b">
        <f>OR(Таблица17[[#This Row],[Щебень]]&gt;0,Таблица17[[#This Row],[Асфальт]]&gt;0,Таблица17[[#This Row],[Бетон]]&gt;0)</f>
        <v>0</v>
      </c>
      <c r="U238" s="8">
        <f>Таблица17[[#This Row],[Бетон]]+Таблица17[[#This Row],[Асфальт]]+Таблица17[[#This Row],[Щебень]]</f>
        <v>0</v>
      </c>
      <c r="V238" s="168"/>
    </row>
    <row r="239" spans="1:24" ht="70.5" hidden="1" x14ac:dyDescent="0.35">
      <c r="A239" s="171">
        <v>243</v>
      </c>
      <c r="B239" s="171" t="s">
        <v>465</v>
      </c>
      <c r="C239" s="171" t="s">
        <v>466</v>
      </c>
      <c r="D239" s="171" t="s">
        <v>551</v>
      </c>
      <c r="E239" s="171">
        <f>Таблица17[[#This Row],[Грунт]]+Таблица17[[#This Row],[Щебень]]+Таблица17[[#This Row],[Асфальт]]+Таблица17[[#This Row],[Бетон]]</f>
        <v>2.5</v>
      </c>
      <c r="F239" s="172"/>
      <c r="G239" s="173">
        <v>2.5</v>
      </c>
      <c r="H239" s="174"/>
      <c r="I239" s="175"/>
      <c r="J239" s="176"/>
      <c r="K239" s="10" t="s">
        <v>557</v>
      </c>
      <c r="N239" s="8" t="b">
        <f>OR(Таблица17[[#This Row],[Щебень]]&gt;0,Таблица17[[#This Row],[Асфальт]]&gt;0,Таблица17[[#This Row],[Бетон]]&gt;0)</f>
        <v>1</v>
      </c>
      <c r="O239" s="8">
        <v>1</v>
      </c>
      <c r="U239" s="8">
        <f>Таблица17[[#This Row],[Бетон]]+Таблица17[[#This Row],[Асфальт]]+Таблица17[[#This Row],[Щебень]]</f>
        <v>2.5</v>
      </c>
      <c r="V239" s="168"/>
    </row>
    <row r="240" spans="1:24" ht="70.5" hidden="1" x14ac:dyDescent="0.35">
      <c r="A240" s="171">
        <v>244</v>
      </c>
      <c r="B240" s="171" t="s">
        <v>467</v>
      </c>
      <c r="C240" s="171" t="s">
        <v>468</v>
      </c>
      <c r="D240" s="171" t="s">
        <v>551</v>
      </c>
      <c r="E240" s="171">
        <f>Таблица17[[#This Row],[Грунт]]+Таблица17[[#This Row],[Щебень]]+Таблица17[[#This Row],[Асфальт]]+Таблица17[[#This Row],[Бетон]]</f>
        <v>0.5</v>
      </c>
      <c r="F240" s="172">
        <v>0.5</v>
      </c>
      <c r="G240" s="173"/>
      <c r="H240" s="174"/>
      <c r="I240" s="175"/>
      <c r="J240" s="176"/>
      <c r="N240" s="8" t="b">
        <f>OR(Таблица17[[#This Row],[Щебень]]&gt;0,Таблица17[[#This Row],[Асфальт]]&gt;0,Таблица17[[#This Row],[Бетон]]&gt;0)</f>
        <v>0</v>
      </c>
      <c r="U240" s="8">
        <f>Таблица17[[#This Row],[Бетон]]+Таблица17[[#This Row],[Асфальт]]+Таблица17[[#This Row],[Щебень]]</f>
        <v>0</v>
      </c>
      <c r="V240" s="168"/>
    </row>
    <row r="241" spans="1:22" ht="70.5" hidden="1" x14ac:dyDescent="0.35">
      <c r="A241" s="171">
        <v>245</v>
      </c>
      <c r="B241" s="171" t="s">
        <v>469</v>
      </c>
      <c r="C241" s="171" t="s">
        <v>470</v>
      </c>
      <c r="D241" s="171" t="s">
        <v>551</v>
      </c>
      <c r="E241" s="171">
        <f>Таблица17[[#This Row],[Грунт]]+Таблица17[[#This Row],[Щебень]]+Таблица17[[#This Row],[Асфальт]]+Таблица17[[#This Row],[Бетон]]</f>
        <v>0.6</v>
      </c>
      <c r="F241" s="172">
        <v>0.6</v>
      </c>
      <c r="G241" s="173"/>
      <c r="H241" s="174"/>
      <c r="I241" s="175"/>
      <c r="J241" s="176"/>
      <c r="N241" s="8" t="b">
        <f>OR(Таблица17[[#This Row],[Щебень]]&gt;0,Таблица17[[#This Row],[Асфальт]]&gt;0,Таблица17[[#This Row],[Бетон]]&gt;0)</f>
        <v>0</v>
      </c>
      <c r="U241" s="8">
        <f>Таблица17[[#This Row],[Бетон]]+Таблица17[[#This Row],[Асфальт]]+Таблица17[[#This Row],[Щебень]]</f>
        <v>0</v>
      </c>
      <c r="V241" s="168"/>
    </row>
    <row r="242" spans="1:22" ht="70.5" hidden="1" x14ac:dyDescent="0.35">
      <c r="A242" s="171">
        <v>246</v>
      </c>
      <c r="B242" s="171" t="s">
        <v>471</v>
      </c>
      <c r="C242" s="171" t="s">
        <v>472</v>
      </c>
      <c r="D242" s="171" t="s">
        <v>551</v>
      </c>
      <c r="E242" s="171">
        <f>Таблица17[[#This Row],[Грунт]]+Таблица17[[#This Row],[Щебень]]+Таблица17[[#This Row],[Асфальт]]+Таблица17[[#This Row],[Бетон]]</f>
        <v>0.82</v>
      </c>
      <c r="F242" s="172"/>
      <c r="G242" s="173"/>
      <c r="H242" s="174">
        <v>0.82</v>
      </c>
      <c r="I242" s="175"/>
      <c r="J242" s="176"/>
      <c r="N242" s="8" t="b">
        <f>OR(Таблица17[[#This Row],[Щебень]]&gt;0,Таблица17[[#This Row],[Асфальт]]&gt;0,Таблица17[[#This Row],[Бетон]]&gt;0)</f>
        <v>1</v>
      </c>
      <c r="O242" s="8">
        <v>1</v>
      </c>
      <c r="U242" s="8">
        <f>Таблица17[[#This Row],[Бетон]]+Таблица17[[#This Row],[Асфальт]]+Таблица17[[#This Row],[Щебень]]</f>
        <v>0.82</v>
      </c>
      <c r="V242" s="168"/>
    </row>
    <row r="243" spans="1:22" ht="70.5" hidden="1" x14ac:dyDescent="0.35">
      <c r="A243" s="171">
        <v>247</v>
      </c>
      <c r="B243" s="171" t="s">
        <v>473</v>
      </c>
      <c r="C243" s="171" t="s">
        <v>474</v>
      </c>
      <c r="D243" s="171" t="s">
        <v>552</v>
      </c>
      <c r="E243" s="171">
        <f>Таблица17[[#This Row],[Грунт]]+Таблица17[[#This Row],[Щебень]]+Таблица17[[#This Row],[Асфальт]]+Таблица17[[#This Row],[Бетон]]</f>
        <v>1.3</v>
      </c>
      <c r="F243" s="172"/>
      <c r="G243" s="173"/>
      <c r="H243" s="174">
        <v>1.3</v>
      </c>
      <c r="I243" s="175"/>
      <c r="J243" s="176"/>
      <c r="N243" s="8" t="b">
        <f>OR(Таблица17[[#This Row],[Щебень]]&gt;0,Таблица17[[#This Row],[Асфальт]]&gt;0,Таблица17[[#This Row],[Бетон]]&gt;0)</f>
        <v>1</v>
      </c>
      <c r="O243" s="8">
        <v>1</v>
      </c>
      <c r="U243" s="8">
        <f>Таблица17[[#This Row],[Бетон]]+Таблица17[[#This Row],[Асфальт]]+Таблица17[[#This Row],[Щебень]]</f>
        <v>1.3</v>
      </c>
      <c r="V243" s="168"/>
    </row>
    <row r="244" spans="1:22" ht="70.5" hidden="1" x14ac:dyDescent="0.35">
      <c r="A244" s="171">
        <v>248</v>
      </c>
      <c r="B244" s="171" t="s">
        <v>475</v>
      </c>
      <c r="C244" s="171" t="s">
        <v>476</v>
      </c>
      <c r="D244" s="171" t="s">
        <v>552</v>
      </c>
      <c r="E244" s="171">
        <f>Таблица17[[#This Row],[Грунт]]+Таблица17[[#This Row],[Щебень]]+Таблица17[[#This Row],[Асфальт]]+Таблица17[[#This Row],[Бетон]]</f>
        <v>0.8</v>
      </c>
      <c r="F244" s="172"/>
      <c r="G244" s="173"/>
      <c r="H244" s="174">
        <v>0.8</v>
      </c>
      <c r="I244" s="175"/>
      <c r="J244" s="176"/>
      <c r="N244" s="8" t="b">
        <f>OR(Таблица17[[#This Row],[Щебень]]&gt;0,Таблица17[[#This Row],[Асфальт]]&gt;0,Таблица17[[#This Row],[Бетон]]&gt;0)</f>
        <v>1</v>
      </c>
      <c r="O244" s="8">
        <v>1</v>
      </c>
      <c r="U244" s="8">
        <f>Таблица17[[#This Row],[Бетон]]+Таблица17[[#This Row],[Асфальт]]+Таблица17[[#This Row],[Щебень]]</f>
        <v>0.8</v>
      </c>
      <c r="V244" s="168"/>
    </row>
    <row r="245" spans="1:22" ht="70.5" hidden="1" x14ac:dyDescent="0.35">
      <c r="A245" s="171">
        <v>249</v>
      </c>
      <c r="B245" s="171" t="s">
        <v>477</v>
      </c>
      <c r="C245" s="171" t="s">
        <v>478</v>
      </c>
      <c r="D245" s="171" t="s">
        <v>552</v>
      </c>
      <c r="E245" s="171">
        <f>Таблица17[[#This Row],[Грунт]]+Таблица17[[#This Row],[Щебень]]+Таблица17[[#This Row],[Асфальт]]+Таблица17[[#This Row],[Бетон]]</f>
        <v>1.6</v>
      </c>
      <c r="F245" s="172"/>
      <c r="G245" s="173"/>
      <c r="H245" s="174">
        <v>1.6</v>
      </c>
      <c r="I245" s="175"/>
      <c r="J245" s="176"/>
      <c r="K245" s="10" t="s">
        <v>557</v>
      </c>
      <c r="N245" s="8" t="b">
        <f>OR(Таблица17[[#This Row],[Щебень]]&gt;0,Таблица17[[#This Row],[Асфальт]]&gt;0,Таблица17[[#This Row],[Бетон]]&gt;0)</f>
        <v>1</v>
      </c>
      <c r="O245" s="8">
        <v>1</v>
      </c>
      <c r="U245" s="8">
        <f>Таблица17[[#This Row],[Бетон]]+Таблица17[[#This Row],[Асфальт]]+Таблица17[[#This Row],[Щебень]]</f>
        <v>1.6</v>
      </c>
      <c r="V245" s="168"/>
    </row>
    <row r="246" spans="1:22" ht="70.5" hidden="1" x14ac:dyDescent="0.35">
      <c r="A246" s="171">
        <v>250</v>
      </c>
      <c r="B246" s="171" t="s">
        <v>479</v>
      </c>
      <c r="C246" s="171" t="s">
        <v>480</v>
      </c>
      <c r="D246" s="171" t="s">
        <v>552</v>
      </c>
      <c r="E246" s="171">
        <f>Таблица17[[#This Row],[Грунт]]+Таблица17[[#This Row],[Щебень]]+Таблица17[[#This Row],[Асфальт]]+Таблица17[[#This Row],[Бетон]]</f>
        <v>1.4</v>
      </c>
      <c r="F246" s="172"/>
      <c r="G246" s="173"/>
      <c r="H246" s="174">
        <v>1.4</v>
      </c>
      <c r="I246" s="175"/>
      <c r="J246" s="176"/>
      <c r="N246" s="8" t="b">
        <f>OR(Таблица17[[#This Row],[Щебень]]&gt;0,Таблица17[[#This Row],[Асфальт]]&gt;0,Таблица17[[#This Row],[Бетон]]&gt;0)</f>
        <v>1</v>
      </c>
      <c r="O246" s="8">
        <v>1</v>
      </c>
      <c r="U246" s="8">
        <f>Таблица17[[#This Row],[Бетон]]+Таблица17[[#This Row],[Асфальт]]+Таблица17[[#This Row],[Щебень]]</f>
        <v>1.4</v>
      </c>
      <c r="V246" s="168"/>
    </row>
    <row r="247" spans="1:22" ht="70.5" hidden="1" x14ac:dyDescent="0.35">
      <c r="A247" s="171">
        <v>251</v>
      </c>
      <c r="B247" s="171" t="s">
        <v>481</v>
      </c>
      <c r="C247" s="171" t="s">
        <v>482</v>
      </c>
      <c r="D247" s="171" t="s">
        <v>552</v>
      </c>
      <c r="E247" s="171">
        <f>Таблица17[[#This Row],[Грунт]]+Таблица17[[#This Row],[Щебень]]+Таблица17[[#This Row],[Асфальт]]+Таблица17[[#This Row],[Бетон]]</f>
        <v>0.3</v>
      </c>
      <c r="F247" s="172"/>
      <c r="G247" s="173"/>
      <c r="H247" s="174">
        <v>0.3</v>
      </c>
      <c r="I247" s="175"/>
      <c r="J247" s="176"/>
      <c r="N247" s="8" t="b">
        <f>OR(Таблица17[[#This Row],[Щебень]]&gt;0,Таблица17[[#This Row],[Асфальт]]&gt;0,Таблица17[[#This Row],[Бетон]]&gt;0)</f>
        <v>1</v>
      </c>
      <c r="O247" s="8">
        <v>1</v>
      </c>
      <c r="U247" s="8">
        <f>Таблица17[[#This Row],[Бетон]]+Таблица17[[#This Row],[Асфальт]]+Таблица17[[#This Row],[Щебень]]</f>
        <v>0.3</v>
      </c>
      <c r="V247" s="168"/>
    </row>
    <row r="248" spans="1:22" ht="70.5" hidden="1" x14ac:dyDescent="0.35">
      <c r="A248" s="171">
        <v>252</v>
      </c>
      <c r="B248" s="171" t="s">
        <v>483</v>
      </c>
      <c r="C248" s="171" t="s">
        <v>484</v>
      </c>
      <c r="D248" s="171" t="s">
        <v>552</v>
      </c>
      <c r="E248" s="171">
        <f>Таблица17[[#This Row],[Грунт]]+Таблица17[[#This Row],[Щебень]]+Таблица17[[#This Row],[Асфальт]]+Таблица17[[#This Row],[Бетон]]</f>
        <v>1.9</v>
      </c>
      <c r="F248" s="172">
        <v>0</v>
      </c>
      <c r="G248" s="173">
        <v>0</v>
      </c>
      <c r="H248" s="174">
        <v>1.9</v>
      </c>
      <c r="I248" s="175"/>
      <c r="J248" s="176"/>
      <c r="N248" s="8" t="b">
        <f>OR(Таблица17[[#This Row],[Щебень]]&gt;0,Таблица17[[#This Row],[Асфальт]]&gt;0,Таблица17[[#This Row],[Бетон]]&gt;0)</f>
        <v>1</v>
      </c>
      <c r="O248" s="8">
        <v>1</v>
      </c>
      <c r="U248" s="8">
        <f>Таблица17[[#This Row],[Бетон]]+Таблица17[[#This Row],[Асфальт]]+Таблица17[[#This Row],[Щебень]]</f>
        <v>1.9</v>
      </c>
      <c r="V248" s="168"/>
    </row>
    <row r="249" spans="1:22" ht="70.5" hidden="1" x14ac:dyDescent="0.35">
      <c r="A249" s="171">
        <v>253</v>
      </c>
      <c r="B249" s="171" t="s">
        <v>485</v>
      </c>
      <c r="C249" s="171" t="s">
        <v>486</v>
      </c>
      <c r="D249" s="171" t="s">
        <v>552</v>
      </c>
      <c r="E249" s="171">
        <f>Таблица17[[#This Row],[Грунт]]+Таблица17[[#This Row],[Щебень]]+Таблица17[[#This Row],[Асфальт]]+Таблица17[[#This Row],[Бетон]]</f>
        <v>0.9</v>
      </c>
      <c r="F249" s="172"/>
      <c r="G249" s="173">
        <v>0</v>
      </c>
      <c r="H249" s="174">
        <v>0.9</v>
      </c>
      <c r="I249" s="175"/>
      <c r="J249" s="176"/>
      <c r="N249" s="8" t="b">
        <f>OR(Таблица17[[#This Row],[Щебень]]&gt;0,Таблица17[[#This Row],[Асфальт]]&gt;0,Таблица17[[#This Row],[Бетон]]&gt;0)</f>
        <v>1</v>
      </c>
      <c r="O249" s="8">
        <v>1</v>
      </c>
      <c r="U249" s="8">
        <f>Таблица17[[#This Row],[Бетон]]+Таблица17[[#This Row],[Асфальт]]+Таблица17[[#This Row],[Щебень]]</f>
        <v>0.9</v>
      </c>
      <c r="V249" s="168"/>
    </row>
    <row r="250" spans="1:22" ht="70.5" hidden="1" x14ac:dyDescent="0.35">
      <c r="A250" s="171">
        <v>254</v>
      </c>
      <c r="B250" s="171" t="s">
        <v>487</v>
      </c>
      <c r="C250" s="171" t="s">
        <v>488</v>
      </c>
      <c r="D250" s="171" t="s">
        <v>552</v>
      </c>
      <c r="E250" s="171">
        <f>Таблица17[[#This Row],[Грунт]]+Таблица17[[#This Row],[Щебень]]+Таблица17[[#This Row],[Асфальт]]+Таблица17[[#This Row],[Бетон]]</f>
        <v>2</v>
      </c>
      <c r="F250" s="172"/>
      <c r="G250" s="173"/>
      <c r="H250" s="174">
        <v>2</v>
      </c>
      <c r="I250" s="175"/>
      <c r="J250" s="176"/>
      <c r="K250" s="10" t="s">
        <v>557</v>
      </c>
      <c r="N250" s="8" t="b">
        <f>OR(Таблица17[[#This Row],[Щебень]]&gt;0,Таблица17[[#This Row],[Асфальт]]&gt;0,Таблица17[[#This Row],[Бетон]]&gt;0)</f>
        <v>1</v>
      </c>
      <c r="O250" s="8">
        <v>1</v>
      </c>
      <c r="U250" s="8">
        <f>Таблица17[[#This Row],[Бетон]]+Таблица17[[#This Row],[Асфальт]]+Таблица17[[#This Row],[Щебень]]</f>
        <v>2</v>
      </c>
      <c r="V250" s="168"/>
    </row>
    <row r="251" spans="1:22" ht="70.5" hidden="1" x14ac:dyDescent="0.35">
      <c r="A251" s="171">
        <v>255</v>
      </c>
      <c r="B251" s="171" t="s">
        <v>489</v>
      </c>
      <c r="C251" s="171" t="s">
        <v>490</v>
      </c>
      <c r="D251" s="171" t="s">
        <v>552</v>
      </c>
      <c r="E251" s="171">
        <f>Таблица17[[#This Row],[Грунт]]+Таблица17[[#This Row],[Щебень]]+Таблица17[[#This Row],[Асфальт]]+Таблица17[[#This Row],[Бетон]]</f>
        <v>0.6</v>
      </c>
      <c r="F251" s="172"/>
      <c r="G251" s="173">
        <v>0</v>
      </c>
      <c r="H251" s="174">
        <v>0.6</v>
      </c>
      <c r="I251" s="175"/>
      <c r="J251" s="176"/>
      <c r="K251" s="8" t="s">
        <v>558</v>
      </c>
      <c r="N251" s="8" t="b">
        <f>OR(Таблица17[[#This Row],[Щебень]]&gt;0,Таблица17[[#This Row],[Асфальт]]&gt;0,Таблица17[[#This Row],[Бетон]]&gt;0)</f>
        <v>1</v>
      </c>
      <c r="O251" s="8">
        <v>1</v>
      </c>
      <c r="U251" s="8">
        <f>Таблица17[[#This Row],[Бетон]]+Таблица17[[#This Row],[Асфальт]]+Таблица17[[#This Row],[Щебень]]</f>
        <v>0.6</v>
      </c>
      <c r="V251" s="168"/>
    </row>
    <row r="252" spans="1:22" ht="70.5" hidden="1" x14ac:dyDescent="0.35">
      <c r="A252" s="171">
        <v>256</v>
      </c>
      <c r="B252" s="171" t="s">
        <v>491</v>
      </c>
      <c r="C252" s="171" t="s">
        <v>492</v>
      </c>
      <c r="D252" s="171" t="s">
        <v>552</v>
      </c>
      <c r="E252" s="171">
        <f>Таблица17[[#This Row],[Грунт]]+Таблица17[[#This Row],[Щебень]]+Таблица17[[#This Row],[Асфальт]]+Таблица17[[#This Row],[Бетон]]</f>
        <v>0.6</v>
      </c>
      <c r="F252" s="172"/>
      <c r="G252" s="173"/>
      <c r="H252" s="174">
        <v>0.6</v>
      </c>
      <c r="I252" s="175"/>
      <c r="J252" s="176"/>
      <c r="N252" s="8" t="b">
        <f>OR(Таблица17[[#This Row],[Щебень]]&gt;0,Таблица17[[#This Row],[Асфальт]]&gt;0,Таблица17[[#This Row],[Бетон]]&gt;0)</f>
        <v>1</v>
      </c>
      <c r="O252" s="8">
        <v>1</v>
      </c>
      <c r="U252" s="8">
        <f>Таблица17[[#This Row],[Бетон]]+Таблица17[[#This Row],[Асфальт]]+Таблица17[[#This Row],[Щебень]]</f>
        <v>0.6</v>
      </c>
      <c r="V252" s="168"/>
    </row>
    <row r="253" spans="1:22" ht="70.5" hidden="1" x14ac:dyDescent="0.35">
      <c r="A253" s="171">
        <v>257</v>
      </c>
      <c r="B253" s="171" t="s">
        <v>493</v>
      </c>
      <c r="C253" s="171" t="s">
        <v>494</v>
      </c>
      <c r="D253" s="171" t="s">
        <v>552</v>
      </c>
      <c r="E253" s="171">
        <f>Таблица17[[#This Row],[Грунт]]+Таблица17[[#This Row],[Щебень]]+Таблица17[[#This Row],[Асфальт]]+Таблица17[[#This Row],[Бетон]]</f>
        <v>1.2</v>
      </c>
      <c r="F253" s="172"/>
      <c r="G253" s="173"/>
      <c r="H253" s="174">
        <v>1.2</v>
      </c>
      <c r="I253" s="175"/>
      <c r="J253" s="176"/>
      <c r="N253" s="8" t="b">
        <f>OR(Таблица17[[#This Row],[Щебень]]&gt;0,Таблица17[[#This Row],[Асфальт]]&gt;0,Таблица17[[#This Row],[Бетон]]&gt;0)</f>
        <v>1</v>
      </c>
      <c r="O253" s="8">
        <v>1</v>
      </c>
      <c r="U253" s="8">
        <f>Таблица17[[#This Row],[Бетон]]+Таблица17[[#This Row],[Асфальт]]+Таблица17[[#This Row],[Щебень]]</f>
        <v>1.2</v>
      </c>
      <c r="V253" s="168"/>
    </row>
    <row r="254" spans="1:22" ht="70.5" hidden="1" x14ac:dyDescent="0.35">
      <c r="A254" s="171">
        <v>258</v>
      </c>
      <c r="B254" s="171" t="s">
        <v>495</v>
      </c>
      <c r="C254" s="171" t="s">
        <v>496</v>
      </c>
      <c r="D254" s="171" t="s">
        <v>552</v>
      </c>
      <c r="E254" s="171">
        <f>Таблица17[[#This Row],[Грунт]]+Таблица17[[#This Row],[Щебень]]+Таблица17[[#This Row],[Асфальт]]+Таблица17[[#This Row],[Бетон]]</f>
        <v>0.77</v>
      </c>
      <c r="F254" s="172"/>
      <c r="G254" s="173"/>
      <c r="H254" s="174">
        <v>0.77</v>
      </c>
      <c r="I254" s="175"/>
      <c r="J254" s="176"/>
      <c r="N254" s="8" t="b">
        <f>OR(Таблица17[[#This Row],[Щебень]]&gt;0,Таблица17[[#This Row],[Асфальт]]&gt;0,Таблица17[[#This Row],[Бетон]]&gt;0)</f>
        <v>1</v>
      </c>
      <c r="O254" s="8">
        <v>1</v>
      </c>
      <c r="U254" s="8">
        <f>Таблица17[[#This Row],[Бетон]]+Таблица17[[#This Row],[Асфальт]]+Таблица17[[#This Row],[Щебень]]</f>
        <v>0.77</v>
      </c>
      <c r="V254" s="168"/>
    </row>
    <row r="255" spans="1:22" ht="70.5" hidden="1" x14ac:dyDescent="0.35">
      <c r="A255" s="171">
        <v>259</v>
      </c>
      <c r="B255" s="171" t="s">
        <v>497</v>
      </c>
      <c r="C255" s="171" t="s">
        <v>498</v>
      </c>
      <c r="D255" s="171" t="s">
        <v>552</v>
      </c>
      <c r="E255" s="171">
        <f>Таблица17[[#This Row],[Грунт]]+Таблица17[[#This Row],[Щебень]]+Таблица17[[#This Row],[Асфальт]]+Таблица17[[#This Row],[Бетон]]</f>
        <v>0.6</v>
      </c>
      <c r="F255" s="172"/>
      <c r="G255" s="173"/>
      <c r="H255" s="174">
        <v>0.6</v>
      </c>
      <c r="I255" s="175"/>
      <c r="J255" s="176"/>
      <c r="N255" s="8" t="b">
        <f>OR(Таблица17[[#This Row],[Щебень]]&gt;0,Таблица17[[#This Row],[Асфальт]]&gt;0,Таблица17[[#This Row],[Бетон]]&gt;0)</f>
        <v>1</v>
      </c>
      <c r="O255" s="8">
        <v>1</v>
      </c>
      <c r="P255" s="8">
        <f>0.6-Таблица17[[#This Row],[Протяженность(км)]]</f>
        <v>0</v>
      </c>
      <c r="U255" s="8">
        <f>Таблица17[[#This Row],[Бетон]]+Таблица17[[#This Row],[Асфальт]]+Таблица17[[#This Row],[Щебень]]</f>
        <v>0.6</v>
      </c>
      <c r="V255" s="168"/>
    </row>
    <row r="256" spans="1:22" ht="70.5" hidden="1" x14ac:dyDescent="0.35">
      <c r="A256" s="171">
        <v>260</v>
      </c>
      <c r="B256" s="171" t="s">
        <v>499</v>
      </c>
      <c r="C256" s="171" t="s">
        <v>500</v>
      </c>
      <c r="D256" s="171" t="s">
        <v>552</v>
      </c>
      <c r="E256" s="171">
        <f>Таблица17[[#This Row],[Грунт]]+Таблица17[[#This Row],[Щебень]]+Таблица17[[#This Row],[Асфальт]]+Таблица17[[#This Row],[Бетон]]</f>
        <v>0.499</v>
      </c>
      <c r="F256" s="172"/>
      <c r="G256" s="173">
        <v>0</v>
      </c>
      <c r="H256" s="174">
        <v>0.499</v>
      </c>
      <c r="I256" s="175"/>
      <c r="J256" s="176"/>
      <c r="N256" s="8" t="b">
        <f>OR(Таблица17[[#This Row],[Щебень]]&gt;0,Таблица17[[#This Row],[Асфальт]]&gt;0,Таблица17[[#This Row],[Бетон]]&gt;0)</f>
        <v>1</v>
      </c>
      <c r="O256" s="8">
        <v>1</v>
      </c>
      <c r="U256" s="8">
        <f>Таблица17[[#This Row],[Бетон]]+Таблица17[[#This Row],[Асфальт]]+Таблица17[[#This Row],[Щебень]]</f>
        <v>0.499</v>
      </c>
      <c r="V256" s="168"/>
    </row>
    <row r="257" spans="1:26" ht="70.5" hidden="1" x14ac:dyDescent="0.35">
      <c r="A257" s="171">
        <v>261</v>
      </c>
      <c r="B257" s="171" t="s">
        <v>501</v>
      </c>
      <c r="C257" s="171" t="s">
        <v>502</v>
      </c>
      <c r="D257" s="171" t="s">
        <v>552</v>
      </c>
      <c r="E257" s="171">
        <f>Таблица17[[#This Row],[Грунт]]+Таблица17[[#This Row],[Щебень]]+Таблица17[[#This Row],[Асфальт]]+Таблица17[[#This Row],[Бетон]]</f>
        <v>0.66700000000000004</v>
      </c>
      <c r="F257" s="172"/>
      <c r="G257" s="173">
        <v>0</v>
      </c>
      <c r="H257" s="174">
        <v>0.66700000000000004</v>
      </c>
      <c r="I257" s="175"/>
      <c r="J257" s="176"/>
      <c r="N257" s="8" t="b">
        <f>OR(Таблица17[[#This Row],[Щебень]]&gt;0,Таблица17[[#This Row],[Асфальт]]&gt;0,Таблица17[[#This Row],[Бетон]]&gt;0)</f>
        <v>1</v>
      </c>
      <c r="O257" s="8">
        <v>1</v>
      </c>
      <c r="U257" s="8">
        <f>Таблица17[[#This Row],[Бетон]]+Таблица17[[#This Row],[Асфальт]]+Таблица17[[#This Row],[Щебень]]</f>
        <v>0.66700000000000004</v>
      </c>
      <c r="V257" s="168"/>
    </row>
    <row r="258" spans="1:26" ht="70.5" hidden="1" x14ac:dyDescent="0.35">
      <c r="A258" s="171">
        <v>262</v>
      </c>
      <c r="B258" s="171" t="s">
        <v>503</v>
      </c>
      <c r="C258" s="171" t="s">
        <v>504</v>
      </c>
      <c r="D258" s="171" t="s">
        <v>552</v>
      </c>
      <c r="E258" s="171">
        <f>Таблица17[[#This Row],[Грунт]]+Таблица17[[#This Row],[Щебень]]+Таблица17[[#This Row],[Асфальт]]+Таблица17[[#This Row],[Бетон]]</f>
        <v>0.7</v>
      </c>
      <c r="F258" s="172"/>
      <c r="G258" s="173">
        <v>0.7</v>
      </c>
      <c r="H258" s="174"/>
      <c r="I258" s="175"/>
      <c r="J258" s="176"/>
      <c r="N258" s="8" t="b">
        <f>OR(Таблица17[[#This Row],[Щебень]]&gt;0,Таблица17[[#This Row],[Асфальт]]&gt;0,Таблица17[[#This Row],[Бетон]]&gt;0)</f>
        <v>1</v>
      </c>
      <c r="O258" s="8">
        <v>1</v>
      </c>
      <c r="U258" s="8">
        <f>Таблица17[[#This Row],[Бетон]]+Таблица17[[#This Row],[Асфальт]]+Таблица17[[#This Row],[Щебень]]</f>
        <v>0.7</v>
      </c>
      <c r="V258" s="168"/>
      <c r="Z258" s="8">
        <v>0.7</v>
      </c>
    </row>
    <row r="259" spans="1:26" ht="70.5" hidden="1" x14ac:dyDescent="0.35">
      <c r="A259" s="171">
        <v>263</v>
      </c>
      <c r="B259" s="171" t="s">
        <v>505</v>
      </c>
      <c r="C259" s="171" t="s">
        <v>506</v>
      </c>
      <c r="D259" s="171" t="s">
        <v>552</v>
      </c>
      <c r="E259" s="171">
        <f>Таблица17[[#This Row],[Грунт]]+Таблица17[[#This Row],[Щебень]]+Таблица17[[#This Row],[Асфальт]]+Таблица17[[#This Row],[Бетон]]</f>
        <v>0.7</v>
      </c>
      <c r="F259" s="172"/>
      <c r="G259" s="173"/>
      <c r="H259" s="174">
        <v>0.7</v>
      </c>
      <c r="I259" s="175"/>
      <c r="J259" s="176"/>
      <c r="N259" s="8" t="b">
        <f>OR(Таблица17[[#This Row],[Щебень]]&gt;0,Таблица17[[#This Row],[Асфальт]]&gt;0,Таблица17[[#This Row],[Бетон]]&gt;0)</f>
        <v>1</v>
      </c>
      <c r="O259" s="8">
        <v>1</v>
      </c>
      <c r="U259" s="8">
        <f>Таблица17[[#This Row],[Бетон]]+Таблица17[[#This Row],[Асфальт]]+Таблица17[[#This Row],[Щебень]]</f>
        <v>0.7</v>
      </c>
      <c r="V259" s="168"/>
    </row>
    <row r="260" spans="1:26" ht="70.5" hidden="1" x14ac:dyDescent="0.35">
      <c r="A260" s="171">
        <v>264</v>
      </c>
      <c r="B260" s="171" t="s">
        <v>507</v>
      </c>
      <c r="C260" s="171" t="s">
        <v>508</v>
      </c>
      <c r="D260" s="171" t="s">
        <v>552</v>
      </c>
      <c r="E260" s="171">
        <f>Таблица17[[#This Row],[Грунт]]+Таблица17[[#This Row],[Щебень]]+Таблица17[[#This Row],[Асфальт]]+Таблица17[[#This Row],[Бетон]]</f>
        <v>0.98599999999999999</v>
      </c>
      <c r="F260" s="172"/>
      <c r="G260" s="191"/>
      <c r="H260" s="174">
        <v>0.98599999999999999</v>
      </c>
      <c r="I260" s="175"/>
      <c r="J260" s="176"/>
      <c r="N260" s="8" t="b">
        <f>OR(Таблица17[[#This Row],[Щебень]]&gt;0,Таблица17[[#This Row],[Асфальт]]&gt;0,Таблица17[[#This Row],[Бетон]]&gt;0)</f>
        <v>1</v>
      </c>
      <c r="O260" s="8">
        <v>1</v>
      </c>
      <c r="U260" s="8">
        <f>Таблица17[[#This Row],[Бетон]]+Таблица17[[#This Row],[Асфальт]]+Таблица17[[#This Row],[Щебень]]</f>
        <v>0.98599999999999999</v>
      </c>
      <c r="V260" s="168"/>
    </row>
    <row r="261" spans="1:26" ht="70.5" hidden="1" x14ac:dyDescent="0.35">
      <c r="A261" s="171">
        <v>265</v>
      </c>
      <c r="B261" s="171" t="s">
        <v>509</v>
      </c>
      <c r="C261" s="171" t="s">
        <v>510</v>
      </c>
      <c r="D261" s="171" t="s">
        <v>552</v>
      </c>
      <c r="E261" s="171">
        <f>Таблица17[[#This Row],[Грунт]]+Таблица17[[#This Row],[Щебень]]+Таблица17[[#This Row],[Асфальт]]+Таблица17[[#This Row],[Бетон]]</f>
        <v>0.8</v>
      </c>
      <c r="F261" s="172">
        <v>0.8</v>
      </c>
      <c r="G261" s="173"/>
      <c r="H261" s="174"/>
      <c r="I261" s="175"/>
      <c r="J261" s="176"/>
      <c r="N261" s="8" t="b">
        <f>OR(Таблица17[[#This Row],[Щебень]]&gt;0,Таблица17[[#This Row],[Асфальт]]&gt;0,Таблица17[[#This Row],[Бетон]]&gt;0)</f>
        <v>0</v>
      </c>
      <c r="U261" s="8">
        <f>Таблица17[[#This Row],[Бетон]]+Таблица17[[#This Row],[Асфальт]]+Таблица17[[#This Row],[Щебень]]</f>
        <v>0</v>
      </c>
      <c r="V261" s="168"/>
    </row>
    <row r="262" spans="1:26" ht="70.5" hidden="1" x14ac:dyDescent="0.35">
      <c r="A262" s="171">
        <v>266</v>
      </c>
      <c r="B262" s="171" t="s">
        <v>511</v>
      </c>
      <c r="C262" s="171" t="s">
        <v>512</v>
      </c>
      <c r="D262" s="171" t="s">
        <v>552</v>
      </c>
      <c r="E262" s="171">
        <f>Таблица17[[#This Row],[Грунт]]+Таблица17[[#This Row],[Щебень]]+Таблица17[[#This Row],[Асфальт]]+Таблица17[[#This Row],[Бетон]]</f>
        <v>1.4</v>
      </c>
      <c r="F262" s="172"/>
      <c r="G262" s="173">
        <v>1.4</v>
      </c>
      <c r="H262" s="174"/>
      <c r="I262" s="175"/>
      <c r="J262" s="176"/>
      <c r="N262" s="8" t="b">
        <f>OR(Таблица17[[#This Row],[Щебень]]&gt;0,Таблица17[[#This Row],[Асфальт]]&gt;0,Таблица17[[#This Row],[Бетон]]&gt;0)</f>
        <v>1</v>
      </c>
      <c r="O262" s="8">
        <v>1</v>
      </c>
      <c r="U262" s="8">
        <f>Таблица17[[#This Row],[Бетон]]+Таблица17[[#This Row],[Асфальт]]+Таблица17[[#This Row],[Щебень]]</f>
        <v>1.4</v>
      </c>
      <c r="V262" s="168"/>
    </row>
    <row r="263" spans="1:26" ht="70.5" hidden="1" x14ac:dyDescent="0.35">
      <c r="A263" s="171">
        <v>267</v>
      </c>
      <c r="B263" s="171" t="s">
        <v>513</v>
      </c>
      <c r="C263" s="171" t="s">
        <v>514</v>
      </c>
      <c r="D263" s="171" t="s">
        <v>552</v>
      </c>
      <c r="E263" s="171">
        <f>Таблица17[[#This Row],[Грунт]]+Таблица17[[#This Row],[Щебень]]+Таблица17[[#This Row],[Асфальт]]+Таблица17[[#This Row],[Бетон]]</f>
        <v>1</v>
      </c>
      <c r="F263" s="172"/>
      <c r="G263" s="173">
        <v>1</v>
      </c>
      <c r="H263" s="174"/>
      <c r="I263" s="175"/>
      <c r="J263" s="176"/>
      <c r="N263" s="8" t="b">
        <f>OR(Таблица17[[#This Row],[Щебень]]&gt;0,Таблица17[[#This Row],[Асфальт]]&gt;0,Таблица17[[#This Row],[Бетон]]&gt;0)</f>
        <v>1</v>
      </c>
      <c r="O263" s="8">
        <v>1</v>
      </c>
      <c r="U263" s="8">
        <f>Таблица17[[#This Row],[Бетон]]+Таблица17[[#This Row],[Асфальт]]+Таблица17[[#This Row],[Щебень]]</f>
        <v>1</v>
      </c>
      <c r="V263" s="168"/>
    </row>
    <row r="264" spans="1:26" ht="70.5" hidden="1" x14ac:dyDescent="0.35">
      <c r="A264" s="171">
        <v>268</v>
      </c>
      <c r="B264" s="171" t="s">
        <v>515</v>
      </c>
      <c r="C264" s="171" t="s">
        <v>516</v>
      </c>
      <c r="D264" s="171" t="s">
        <v>552</v>
      </c>
      <c r="E264" s="171">
        <f>Таблица17[[#This Row],[Грунт]]+Таблица17[[#This Row],[Щебень]]+Таблица17[[#This Row],[Асфальт]]+Таблица17[[#This Row],[Бетон]]</f>
        <v>0.75</v>
      </c>
      <c r="F264" s="172"/>
      <c r="G264" s="173"/>
      <c r="H264" s="174">
        <v>0.75</v>
      </c>
      <c r="I264" s="175"/>
      <c r="J264" s="176"/>
      <c r="K264" s="8" t="s">
        <v>558</v>
      </c>
      <c r="N264" s="8" t="b">
        <f>OR(Таблица17[[#This Row],[Щебень]]&gt;0,Таблица17[[#This Row],[Асфальт]]&gt;0,Таблица17[[#This Row],[Бетон]]&gt;0)</f>
        <v>1</v>
      </c>
      <c r="O264" s="8">
        <v>1</v>
      </c>
      <c r="U264" s="8">
        <f>Таблица17[[#This Row],[Бетон]]+Таблица17[[#This Row],[Асфальт]]+Таблица17[[#This Row],[Щебень]]</f>
        <v>0.75</v>
      </c>
      <c r="V264" s="168"/>
    </row>
    <row r="265" spans="1:26" ht="70.5" hidden="1" x14ac:dyDescent="0.35">
      <c r="A265" s="171">
        <v>269</v>
      </c>
      <c r="B265" s="171" t="s">
        <v>517</v>
      </c>
      <c r="C265" s="171" t="s">
        <v>518</v>
      </c>
      <c r="D265" s="171" t="s">
        <v>552</v>
      </c>
      <c r="E265" s="171">
        <f>Таблица17[[#This Row],[Грунт]]+Таблица17[[#This Row],[Щебень]]+Таблица17[[#This Row],[Асфальт]]+Таблица17[[#This Row],[Бетон]]</f>
        <v>0.3</v>
      </c>
      <c r="F265" s="172">
        <v>0</v>
      </c>
      <c r="G265" s="173"/>
      <c r="H265" s="174">
        <v>0.3</v>
      </c>
      <c r="I265" s="175"/>
      <c r="J265" s="176"/>
      <c r="N265" s="8" t="b">
        <f>OR(Таблица17[[#This Row],[Щебень]]&gt;0,Таблица17[[#This Row],[Асфальт]]&gt;0,Таблица17[[#This Row],[Бетон]]&gt;0)</f>
        <v>1</v>
      </c>
      <c r="U265" s="8">
        <f>Таблица17[[#This Row],[Бетон]]+Таблица17[[#This Row],[Асфальт]]+Таблица17[[#This Row],[Щебень]]</f>
        <v>0.3</v>
      </c>
      <c r="V265" s="168"/>
    </row>
    <row r="266" spans="1:26" ht="70.5" hidden="1" x14ac:dyDescent="0.35">
      <c r="A266" s="171">
        <v>270</v>
      </c>
      <c r="B266" s="171" t="s">
        <v>519</v>
      </c>
      <c r="C266" s="171" t="s">
        <v>520</v>
      </c>
      <c r="D266" s="171" t="s">
        <v>552</v>
      </c>
      <c r="E266" s="171">
        <f>Таблица17[[#This Row],[Грунт]]+Таблица17[[#This Row],[Щебень]]+Таблица17[[#This Row],[Асфальт]]+Таблица17[[#This Row],[Бетон]]</f>
        <v>0.1</v>
      </c>
      <c r="F266" s="172"/>
      <c r="G266" s="173"/>
      <c r="H266" s="174">
        <v>0.1</v>
      </c>
      <c r="I266" s="175"/>
      <c r="J266" s="176"/>
      <c r="N266" s="8" t="b">
        <f>OR(Таблица17[[#This Row],[Щебень]]&gt;0,Таблица17[[#This Row],[Асфальт]]&gt;0,Таблица17[[#This Row],[Бетон]]&gt;0)</f>
        <v>1</v>
      </c>
      <c r="U266" s="8">
        <f>Таблица17[[#This Row],[Бетон]]+Таблица17[[#This Row],[Асфальт]]+Таблица17[[#This Row],[Щебень]]</f>
        <v>0.1</v>
      </c>
      <c r="V266" s="168"/>
    </row>
    <row r="267" spans="1:26" ht="70.5" hidden="1" x14ac:dyDescent="0.35">
      <c r="A267" s="171">
        <v>271</v>
      </c>
      <c r="B267" s="171" t="s">
        <v>521</v>
      </c>
      <c r="C267" s="171" t="s">
        <v>522</v>
      </c>
      <c r="D267" s="171" t="s">
        <v>552</v>
      </c>
      <c r="E267" s="171">
        <f>Таблица17[[#This Row],[Грунт]]+Таблица17[[#This Row],[Щебень]]+Таблица17[[#This Row],[Асфальт]]+Таблица17[[#This Row],[Бетон]]</f>
        <v>0.4</v>
      </c>
      <c r="F267" s="172"/>
      <c r="G267" s="173">
        <v>0</v>
      </c>
      <c r="H267" s="174">
        <v>0.4</v>
      </c>
      <c r="I267" s="175"/>
      <c r="J267" s="176"/>
      <c r="N267" s="8" t="b">
        <f>OR(Таблица17[[#This Row],[Щебень]]&gt;0,Таблица17[[#This Row],[Асфальт]]&gt;0,Таблица17[[#This Row],[Бетон]]&gt;0)</f>
        <v>1</v>
      </c>
      <c r="O267" s="8">
        <v>1</v>
      </c>
      <c r="U267" s="8">
        <f>Таблица17[[#This Row],[Бетон]]+Таблица17[[#This Row],[Асфальт]]+Таблица17[[#This Row],[Щебень]]</f>
        <v>0.4</v>
      </c>
      <c r="V267" s="168"/>
    </row>
    <row r="268" spans="1:26" ht="70.5" x14ac:dyDescent="0.35">
      <c r="A268" s="171">
        <v>273</v>
      </c>
      <c r="B268" s="171" t="s">
        <v>553</v>
      </c>
      <c r="C268" s="171" t="s">
        <v>554</v>
      </c>
      <c r="D268" s="171" t="s">
        <v>552</v>
      </c>
      <c r="E268" s="171">
        <f>Таблица17[[#This Row],[Грунт]]+Таблица17[[#This Row],[Щебень]]+Таблица17[[#This Row],[Асфальт]]+Таблица17[[#This Row],[Бетон]]</f>
        <v>3</v>
      </c>
      <c r="F268" s="172">
        <v>2.1</v>
      </c>
      <c r="G268" s="173">
        <v>0.9</v>
      </c>
      <c r="H268" s="174"/>
      <c r="I268" s="175"/>
      <c r="J268" s="176" t="s">
        <v>801</v>
      </c>
      <c r="K268" s="10" t="s">
        <v>557</v>
      </c>
      <c r="N268" s="8" t="b">
        <f>OR(Таблица17[[#This Row],[Щебень]]&gt;0,Таблица17[[#This Row],[Асфальт]]&gt;0,Таблица17[[#This Row],[Бетон]]&gt;0)</f>
        <v>1</v>
      </c>
      <c r="O268" s="8">
        <v>1</v>
      </c>
      <c r="U268" s="8">
        <f>Таблица17[[#This Row],[Бетон]]+Таблица17[[#This Row],[Асфальт]]+Таблица17[[#This Row],[Щебень]]</f>
        <v>0.9</v>
      </c>
      <c r="V268" s="168"/>
    </row>
    <row r="269" spans="1:26" ht="70.5" x14ac:dyDescent="0.35">
      <c r="A269" s="171">
        <v>274</v>
      </c>
      <c r="B269" s="171" t="s">
        <v>525</v>
      </c>
      <c r="C269" s="171" t="s">
        <v>526</v>
      </c>
      <c r="D269" s="171" t="s">
        <v>552</v>
      </c>
      <c r="E269" s="171">
        <f>Таблица17[[#This Row],[Грунт]]+Таблица17[[#This Row],[Щебень]]+Таблица17[[#This Row],[Асфальт]]+Таблица17[[#This Row],[Бетон]]</f>
        <v>6.6</v>
      </c>
      <c r="F269" s="172">
        <v>0.7</v>
      </c>
      <c r="G269" s="173">
        <v>0.9</v>
      </c>
      <c r="H269" s="174">
        <v>5</v>
      </c>
      <c r="I269" s="175"/>
      <c r="J269" s="176" t="s">
        <v>801</v>
      </c>
      <c r="N269" s="8" t="b">
        <f>OR(Таблица17[[#This Row],[Щебень]]&gt;0,Таблица17[[#This Row],[Асфальт]]&gt;0,Таблица17[[#This Row],[Бетон]]&gt;0)</f>
        <v>1</v>
      </c>
      <c r="O269" s="8">
        <v>1</v>
      </c>
      <c r="U269" s="8">
        <f>Таблица17[[#This Row],[Бетон]]+Таблица17[[#This Row],[Асфальт]]+Таблица17[[#This Row],[Щебень]]</f>
        <v>5.9</v>
      </c>
      <c r="V269" s="168"/>
      <c r="Z269" s="8">
        <v>5.9</v>
      </c>
    </row>
    <row r="270" spans="1:26" x14ac:dyDescent="0.35">
      <c r="A270" s="13" t="s">
        <v>562</v>
      </c>
      <c r="B270" s="13"/>
      <c r="C270" s="13"/>
      <c r="D270" s="13"/>
      <c r="E270" s="120">
        <f>SUBTOTAL(109,Таблица17[Протяженность(км)])</f>
        <v>47.300000000000004</v>
      </c>
      <c r="F270" s="120">
        <f>SUBTOTAL(109,Таблица17[Грунт])</f>
        <v>16.900000000000002</v>
      </c>
      <c r="G270" s="120">
        <f>SUBTOTAL(109,Таблица17[Щебень])</f>
        <v>11.100000000000001</v>
      </c>
      <c r="H270" s="120">
        <f>SUBTOTAL(109,Таблица17[Асфальт])</f>
        <v>19.299999999999997</v>
      </c>
      <c r="I270" s="120">
        <f>SUBTOTAL(109,Таблица17[Бетон])</f>
        <v>0</v>
      </c>
      <c r="J270" s="167"/>
      <c r="K270" s="14"/>
      <c r="L270" s="14">
        <f>SUBTOTAL(103,Таблица17[МЕЖЕВАНИЕ])</f>
        <v>1</v>
      </c>
      <c r="M270" s="14"/>
      <c r="N270" s="15"/>
      <c r="O270" s="15">
        <f>SUBTOTAL(109,Таблица17[Столбец1])</f>
        <v>18</v>
      </c>
      <c r="P270" s="15"/>
      <c r="Q270" s="15"/>
      <c r="R270" s="15"/>
      <c r="S270" s="15"/>
      <c r="T270" s="15"/>
      <c r="U270" s="8" t="e">
        <f>U269+U268+U263+U262+U258+U243+U253+U236+U235+#REF!+U231+U220+U218+U215+U214+U213+U212+U209+U208+U207+U188+U183+U172+U171+U170+U165+U162+U161+U160+U159+U145+U141+U127+U112+U110+U107+U106+U91+U78+U61+U40+U26+U18+U3+U210</f>
        <v>#REF!</v>
      </c>
    </row>
    <row r="271" spans="1:26" x14ac:dyDescent="0.35">
      <c r="A271" s="9"/>
      <c r="B271" s="16"/>
      <c r="C271" s="9"/>
      <c r="D271" s="16"/>
      <c r="I271" s="8"/>
      <c r="J271" s="168"/>
    </row>
    <row r="272" spans="1:26" x14ac:dyDescent="0.35">
      <c r="C272" s="200" t="s">
        <v>599</v>
      </c>
      <c r="D272" s="200" t="s">
        <v>808</v>
      </c>
      <c r="E272" s="150">
        <v>1.1000000000000001</v>
      </c>
      <c r="G272" s="15">
        <f>Таблица17[[#Totals],[Щебень]]+Таблица17[[#Totals],[Асфальт]]+Таблица17[[#Totals],[Бетон]]</f>
        <v>30.4</v>
      </c>
      <c r="H272" s="8">
        <f>64.906/6</f>
        <v>10.817666666666668</v>
      </c>
      <c r="I272" s="8"/>
      <c r="J272" s="168"/>
    </row>
    <row r="273" spans="2:10" x14ac:dyDescent="0.35">
      <c r="F273" s="103"/>
      <c r="G273" s="15">
        <f>G272/5</f>
        <v>6.08</v>
      </c>
    </row>
    <row r="274" spans="2:10" x14ac:dyDescent="0.35">
      <c r="F274" s="114"/>
    </row>
    <row r="275" spans="2:10" x14ac:dyDescent="0.35">
      <c r="H275" s="114"/>
      <c r="I275" s="117"/>
      <c r="J275" s="170"/>
    </row>
    <row r="277" spans="2:10" x14ac:dyDescent="0.35">
      <c r="B277" s="8">
        <v>2025</v>
      </c>
    </row>
    <row r="278" spans="2:10" x14ac:dyDescent="0.35">
      <c r="B278" s="8">
        <v>2026</v>
      </c>
    </row>
    <row r="279" spans="2:10" x14ac:dyDescent="0.35">
      <c r="B279" s="8">
        <v>2027</v>
      </c>
    </row>
    <row r="280" spans="2:10" x14ac:dyDescent="0.35">
      <c r="B280" s="8">
        <v>2028</v>
      </c>
    </row>
    <row r="281" spans="2:10" x14ac:dyDescent="0.35">
      <c r="B281" s="8">
        <v>2029</v>
      </c>
    </row>
    <row r="282" spans="2:10" x14ac:dyDescent="0.35">
      <c r="B282" s="8">
        <v>2030</v>
      </c>
    </row>
    <row r="291" spans="3:3" x14ac:dyDescent="0.35">
      <c r="C291" s="8" t="s">
        <v>570</v>
      </c>
    </row>
  </sheetData>
  <pageMargins left="0.7" right="0.7" top="0.75" bottom="0.75" header="0.3" footer="0.3"/>
  <pageSetup paperSize="9" scale="41" fitToHeight="0" orientation="landscape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D68F2-8181-4C2B-8400-E566A0BAC963}">
  <sheetPr>
    <pageSetUpPr fitToPage="1"/>
  </sheetPr>
  <dimension ref="A1:U71"/>
  <sheetViews>
    <sheetView view="pageBreakPreview" zoomScale="86" zoomScaleNormal="100" zoomScaleSheetLayoutView="86" workbookViewId="0">
      <selection activeCell="A5" sqref="A5"/>
    </sheetView>
  </sheetViews>
  <sheetFormatPr defaultRowHeight="15" x14ac:dyDescent="0.25"/>
  <cols>
    <col min="1" max="1" width="46.140625" customWidth="1"/>
    <col min="2" max="2" width="22.7109375" bestFit="1" customWidth="1"/>
    <col min="4" max="4" width="45.28515625" bestFit="1" customWidth="1"/>
    <col min="5" max="5" width="22.7109375" bestFit="1" customWidth="1"/>
    <col min="6" max="6" width="9.140625" customWidth="1"/>
    <col min="7" max="7" width="103.42578125" bestFit="1" customWidth="1"/>
    <col min="8" max="8" width="18" bestFit="1" customWidth="1"/>
    <col min="9" max="9" width="9.140625" customWidth="1"/>
    <col min="10" max="10" width="103.42578125" bestFit="1" customWidth="1"/>
    <col min="11" max="11" width="23.7109375" customWidth="1"/>
    <col min="14" max="14" width="103.42578125" bestFit="1" customWidth="1"/>
    <col min="15" max="15" width="16.28515625" bestFit="1" customWidth="1"/>
    <col min="17" max="17" width="40.85546875" customWidth="1"/>
    <col min="18" max="18" width="16.28515625" bestFit="1" customWidth="1"/>
  </cols>
  <sheetData>
    <row r="1" spans="1:21" ht="23.25" x14ac:dyDescent="0.35">
      <c r="A1" s="411">
        <v>2025</v>
      </c>
      <c r="B1" s="411"/>
      <c r="C1" s="203" t="s">
        <v>807</v>
      </c>
      <c r="D1" s="411">
        <v>2026</v>
      </c>
      <c r="E1" s="411"/>
      <c r="F1" s="203"/>
      <c r="G1" s="411">
        <v>2027</v>
      </c>
      <c r="H1" s="411"/>
      <c r="I1" s="203"/>
      <c r="J1" s="411">
        <v>2028</v>
      </c>
      <c r="K1" s="411"/>
      <c r="L1" s="203"/>
      <c r="M1" s="203"/>
      <c r="N1" s="411">
        <v>2029</v>
      </c>
      <c r="O1" s="411"/>
      <c r="P1" s="203"/>
      <c r="Q1" s="411">
        <v>2030</v>
      </c>
      <c r="R1" s="411"/>
      <c r="S1" s="204"/>
      <c r="T1" s="204"/>
    </row>
    <row r="2" spans="1:21" s="150" customFormat="1" ht="18.75" x14ac:dyDescent="0.3">
      <c r="A2" s="205" t="s">
        <v>78</v>
      </c>
      <c r="B2" s="206" t="s">
        <v>546</v>
      </c>
      <c r="C2" s="208">
        <v>5</v>
      </c>
      <c r="D2" s="208" t="s">
        <v>152</v>
      </c>
      <c r="E2" s="208" t="s">
        <v>543</v>
      </c>
      <c r="F2" s="212">
        <v>1</v>
      </c>
      <c r="G2" s="208" t="s">
        <v>7</v>
      </c>
      <c r="H2" s="208" t="s">
        <v>547</v>
      </c>
      <c r="I2" s="207">
        <v>0.7</v>
      </c>
      <c r="J2" s="215" t="s">
        <v>366</v>
      </c>
      <c r="K2" s="207" t="s">
        <v>545</v>
      </c>
      <c r="L2" s="207">
        <v>2.3199999999999998</v>
      </c>
      <c r="M2" s="207"/>
      <c r="N2" s="208" t="s">
        <v>273</v>
      </c>
      <c r="O2" s="207" t="s">
        <v>540</v>
      </c>
      <c r="P2" s="207">
        <v>1</v>
      </c>
      <c r="Q2" s="207" t="s">
        <v>273</v>
      </c>
      <c r="R2" s="207" t="s">
        <v>540</v>
      </c>
      <c r="S2" s="207">
        <v>1</v>
      </c>
      <c r="T2" s="207"/>
    </row>
    <row r="3" spans="1:21" s="150" customFormat="1" ht="18.75" x14ac:dyDescent="0.3">
      <c r="A3" s="208"/>
      <c r="B3" s="208"/>
      <c r="C3" s="208"/>
      <c r="D3" s="208" t="s">
        <v>414</v>
      </c>
      <c r="E3" s="208" t="s">
        <v>548</v>
      </c>
      <c r="F3" s="212">
        <v>0.7</v>
      </c>
      <c r="G3" s="208" t="s">
        <v>216</v>
      </c>
      <c r="H3" s="207" t="s">
        <v>538</v>
      </c>
      <c r="I3" s="207">
        <v>0.7</v>
      </c>
      <c r="J3" s="214" t="s">
        <v>410</v>
      </c>
      <c r="K3" s="207" t="s">
        <v>547</v>
      </c>
      <c r="L3" s="207">
        <v>0.5</v>
      </c>
      <c r="M3" s="207"/>
      <c r="N3" s="208" t="s">
        <v>333</v>
      </c>
      <c r="O3" s="207" t="s">
        <v>542</v>
      </c>
      <c r="P3" s="207">
        <v>0.6</v>
      </c>
      <c r="Q3" s="208" t="s">
        <v>404</v>
      </c>
      <c r="R3" s="207" t="s">
        <v>547</v>
      </c>
      <c r="S3" s="207">
        <v>1</v>
      </c>
      <c r="T3" s="207"/>
    </row>
    <row r="4" spans="1:21" s="150" customFormat="1" ht="37.5" x14ac:dyDescent="0.3">
      <c r="A4" s="199" t="s">
        <v>36</v>
      </c>
      <c r="B4" s="199" t="s">
        <v>552</v>
      </c>
      <c r="C4" s="212">
        <v>0.6</v>
      </c>
      <c r="D4" s="208" t="s">
        <v>416</v>
      </c>
      <c r="E4" s="208" t="s">
        <v>548</v>
      </c>
      <c r="F4" s="212">
        <v>0.4</v>
      </c>
      <c r="G4" s="208" t="s">
        <v>281</v>
      </c>
      <c r="H4" s="207" t="s">
        <v>571</v>
      </c>
      <c r="I4" s="207">
        <v>1.9</v>
      </c>
      <c r="J4" s="214" t="s">
        <v>412</v>
      </c>
      <c r="K4" s="207" t="s">
        <v>548</v>
      </c>
      <c r="L4" s="207">
        <v>4.5999999999999996</v>
      </c>
      <c r="M4" s="207"/>
      <c r="N4" s="219" t="s">
        <v>526</v>
      </c>
      <c r="O4" s="218" t="s">
        <v>552</v>
      </c>
      <c r="P4" s="218">
        <v>5.9</v>
      </c>
      <c r="Q4" s="208" t="s">
        <v>504</v>
      </c>
      <c r="R4" s="207" t="s">
        <v>552</v>
      </c>
      <c r="S4" s="207">
        <v>0.7</v>
      </c>
      <c r="T4" s="207"/>
    </row>
    <row r="5" spans="1:21" s="150" customFormat="1" ht="18.75" x14ac:dyDescent="0.3">
      <c r="A5" s="208" t="s">
        <v>178</v>
      </c>
      <c r="B5" s="208" t="s">
        <v>571</v>
      </c>
      <c r="C5" s="212">
        <v>4</v>
      </c>
      <c r="D5" s="208" t="s">
        <v>422</v>
      </c>
      <c r="E5" s="208" t="s">
        <v>548</v>
      </c>
      <c r="F5" s="212">
        <v>0.2</v>
      </c>
      <c r="G5" s="208" t="s">
        <v>400</v>
      </c>
      <c r="H5" s="207" t="s">
        <v>547</v>
      </c>
      <c r="I5" s="207">
        <v>1.5</v>
      </c>
      <c r="J5" s="214" t="s">
        <v>309</v>
      </c>
      <c r="K5" s="213" t="s">
        <v>542</v>
      </c>
      <c r="L5" s="207">
        <v>0.65</v>
      </c>
      <c r="M5" s="207"/>
      <c r="N5" s="208" t="s">
        <v>315</v>
      </c>
      <c r="O5" s="207" t="s">
        <v>542</v>
      </c>
      <c r="P5" s="207">
        <v>0.55000000000000004</v>
      </c>
      <c r="Q5" s="207" t="s">
        <v>789</v>
      </c>
      <c r="R5" s="207" t="s">
        <v>548</v>
      </c>
      <c r="S5" s="207">
        <v>0.43</v>
      </c>
      <c r="T5" s="207"/>
    </row>
    <row r="6" spans="1:21" s="150" customFormat="1" ht="18.75" x14ac:dyDescent="0.3">
      <c r="A6" s="206" t="s">
        <v>246</v>
      </c>
      <c r="B6" s="206" t="s">
        <v>539</v>
      </c>
      <c r="C6" s="212">
        <v>0.5</v>
      </c>
      <c r="D6" s="207" t="s">
        <v>426</v>
      </c>
      <c r="E6" s="207" t="s">
        <v>548</v>
      </c>
      <c r="F6" s="212">
        <v>1.6</v>
      </c>
      <c r="G6" s="206" t="s">
        <v>52</v>
      </c>
      <c r="H6" s="206" t="s">
        <v>540</v>
      </c>
      <c r="I6" s="208">
        <v>3</v>
      </c>
      <c r="J6" s="214" t="s">
        <v>311</v>
      </c>
      <c r="K6" s="213" t="s">
        <v>542</v>
      </c>
      <c r="L6" s="207">
        <v>0.8</v>
      </c>
      <c r="M6" s="207"/>
      <c r="N6" s="208" t="s">
        <v>321</v>
      </c>
      <c r="O6" s="207" t="s">
        <v>542</v>
      </c>
      <c r="P6" s="207">
        <v>1.5</v>
      </c>
      <c r="Q6" s="207" t="s">
        <v>212</v>
      </c>
      <c r="R6" s="207" t="s">
        <v>538</v>
      </c>
      <c r="S6" s="207">
        <v>1.5</v>
      </c>
      <c r="T6" s="207"/>
    </row>
    <row r="7" spans="1:21" s="150" customFormat="1" ht="18.75" x14ac:dyDescent="0.3">
      <c r="A7" s="206"/>
      <c r="B7" s="206"/>
      <c r="C7" s="212"/>
      <c r="D7" s="207" t="s">
        <v>448</v>
      </c>
      <c r="E7" s="207" t="s">
        <v>549</v>
      </c>
      <c r="F7" s="212">
        <v>1</v>
      </c>
      <c r="G7" s="208" t="s">
        <v>206</v>
      </c>
      <c r="H7" s="208" t="s">
        <v>538</v>
      </c>
      <c r="I7" s="208">
        <v>2.5499999999999998</v>
      </c>
      <c r="J7" s="214" t="s">
        <v>313</v>
      </c>
      <c r="K7" s="213" t="s">
        <v>542</v>
      </c>
      <c r="L7" s="207">
        <v>1.8</v>
      </c>
      <c r="M7" s="217"/>
      <c r="N7" s="208" t="s">
        <v>357</v>
      </c>
      <c r="O7" s="207" t="s">
        <v>544</v>
      </c>
      <c r="P7" s="207">
        <v>1.006</v>
      </c>
      <c r="Q7" s="207" t="s">
        <v>331</v>
      </c>
      <c r="R7" s="207" t="s">
        <v>542</v>
      </c>
      <c r="S7" s="207">
        <v>0.2</v>
      </c>
      <c r="T7" s="207"/>
    </row>
    <row r="8" spans="1:21" s="150" customFormat="1" ht="18.75" x14ac:dyDescent="0.3">
      <c r="A8" s="206"/>
      <c r="B8" s="206"/>
      <c r="C8" s="212"/>
      <c r="D8" s="207" t="s">
        <v>458</v>
      </c>
      <c r="E8" s="207" t="s">
        <v>551</v>
      </c>
      <c r="F8" s="212">
        <v>3.2</v>
      </c>
      <c r="G8" s="208" t="s">
        <v>402</v>
      </c>
      <c r="H8" s="207" t="s">
        <v>547</v>
      </c>
      <c r="I8" s="207">
        <v>0.3</v>
      </c>
      <c r="J8" s="208" t="s">
        <v>315</v>
      </c>
      <c r="K8" s="207" t="s">
        <v>542</v>
      </c>
      <c r="L8" s="207">
        <v>0.55000000000000004</v>
      </c>
      <c r="M8" s="217"/>
      <c r="N8" s="208"/>
      <c r="O8" s="207"/>
      <c r="P8" s="207"/>
      <c r="Q8" s="207" t="s">
        <v>335</v>
      </c>
      <c r="R8" s="207" t="s">
        <v>543</v>
      </c>
      <c r="S8" s="207">
        <v>1.8</v>
      </c>
      <c r="T8" s="207"/>
    </row>
    <row r="9" spans="1:21" s="150" customFormat="1" ht="18.75" x14ac:dyDescent="0.3">
      <c r="A9" s="206"/>
      <c r="B9" s="206"/>
      <c r="C9" s="212"/>
      <c r="D9" s="207" t="s">
        <v>118</v>
      </c>
      <c r="E9" s="207" t="s">
        <v>548</v>
      </c>
      <c r="F9" s="212">
        <v>3</v>
      </c>
      <c r="G9" s="208"/>
      <c r="H9" s="207"/>
      <c r="I9" s="207"/>
      <c r="M9" s="217"/>
      <c r="N9" s="219"/>
      <c r="O9" s="218"/>
      <c r="P9" s="218"/>
      <c r="Q9" s="207" t="s">
        <v>406</v>
      </c>
      <c r="R9" s="207" t="s">
        <v>547</v>
      </c>
      <c r="S9" s="207">
        <v>0.6</v>
      </c>
      <c r="T9" s="207"/>
    </row>
    <row r="10" spans="1:21" s="150" customFormat="1" ht="18.75" x14ac:dyDescent="0.3">
      <c r="A10" s="206"/>
      <c r="B10" s="206"/>
      <c r="C10" s="212"/>
      <c r="D10" s="207"/>
      <c r="E10" s="207"/>
      <c r="F10" s="212"/>
      <c r="G10" s="207"/>
      <c r="H10" s="207"/>
      <c r="I10" s="207"/>
      <c r="J10" s="208"/>
      <c r="K10" s="213"/>
      <c r="L10" s="207"/>
      <c r="M10" s="217"/>
      <c r="N10" s="208"/>
      <c r="O10" s="207"/>
      <c r="P10" s="207"/>
      <c r="Q10" s="207" t="s">
        <v>460</v>
      </c>
      <c r="R10" s="207" t="s">
        <v>551</v>
      </c>
      <c r="S10" s="207">
        <v>0.7</v>
      </c>
      <c r="T10" s="207"/>
    </row>
    <row r="11" spans="1:21" s="150" customFormat="1" ht="18.75" x14ac:dyDescent="0.3">
      <c r="A11" s="206"/>
      <c r="B11" s="206"/>
      <c r="C11" s="212"/>
      <c r="D11" s="207"/>
      <c r="E11" s="207"/>
      <c r="F11" s="212"/>
      <c r="G11" s="208"/>
      <c r="H11" s="207"/>
      <c r="I11" s="207"/>
      <c r="J11" s="216"/>
      <c r="K11" s="207"/>
      <c r="L11" s="207"/>
      <c r="M11" s="217"/>
      <c r="N11" s="207"/>
      <c r="O11" s="207"/>
      <c r="P11" s="207"/>
      <c r="Q11" s="207" t="s">
        <v>474</v>
      </c>
      <c r="R11" s="207" t="s">
        <v>552</v>
      </c>
      <c r="S11" s="207">
        <v>1.3</v>
      </c>
      <c r="T11" s="207"/>
    </row>
    <row r="12" spans="1:21" s="150" customFormat="1" ht="18.75" x14ac:dyDescent="0.3">
      <c r="A12" s="209"/>
      <c r="B12" s="209"/>
      <c r="C12" s="211"/>
      <c r="G12" s="206"/>
      <c r="H12" s="206"/>
      <c r="I12" s="208"/>
      <c r="J12" s="216"/>
      <c r="K12" s="207"/>
      <c r="L12" s="207"/>
      <c r="M12" s="210"/>
      <c r="N12" s="208"/>
      <c r="O12" s="207"/>
      <c r="P12" s="207"/>
      <c r="Q12" s="207" t="s">
        <v>494</v>
      </c>
      <c r="R12" s="207" t="s">
        <v>552</v>
      </c>
      <c r="S12" s="207">
        <v>1.2</v>
      </c>
      <c r="T12" s="207"/>
    </row>
    <row r="13" spans="1:21" s="150" customFormat="1" ht="18.75" x14ac:dyDescent="0.3">
      <c r="A13" s="209"/>
      <c r="B13" s="209"/>
      <c r="C13" s="211"/>
      <c r="D13" s="210"/>
      <c r="E13" s="210"/>
      <c r="F13" s="210"/>
      <c r="G13" s="208"/>
      <c r="H13" s="208"/>
      <c r="I13" s="208"/>
      <c r="J13" s="216"/>
      <c r="K13" s="207"/>
      <c r="L13" s="207"/>
      <c r="M13" s="210"/>
      <c r="N13" s="208"/>
      <c r="O13" s="207"/>
      <c r="P13" s="207"/>
      <c r="Q13" s="207" t="s">
        <v>512</v>
      </c>
      <c r="R13" s="207" t="s">
        <v>552</v>
      </c>
      <c r="S13" s="207">
        <v>1.4</v>
      </c>
      <c r="T13" s="207"/>
    </row>
    <row r="14" spans="1:21" s="150" customFormat="1" ht="18.75" x14ac:dyDescent="0.3">
      <c r="A14" s="209"/>
      <c r="B14" s="209"/>
      <c r="C14" s="211"/>
      <c r="D14" s="210"/>
      <c r="E14" s="210"/>
      <c r="F14" s="210"/>
      <c r="G14" s="211"/>
      <c r="H14" s="211"/>
      <c r="I14" s="211"/>
      <c r="J14" s="216"/>
      <c r="K14" s="207"/>
      <c r="L14" s="207"/>
      <c r="M14" s="210"/>
      <c r="N14" s="218"/>
      <c r="O14" s="218"/>
      <c r="P14" s="220"/>
      <c r="Q14" s="207" t="s">
        <v>514</v>
      </c>
      <c r="R14" s="207" t="s">
        <v>552</v>
      </c>
      <c r="S14" s="207">
        <v>1</v>
      </c>
      <c r="T14" s="207"/>
    </row>
    <row r="15" spans="1:21" s="150" customFormat="1" ht="18.75" x14ac:dyDescent="0.3">
      <c r="A15" s="209"/>
      <c r="B15" s="209"/>
      <c r="C15" s="211"/>
      <c r="D15" s="210"/>
      <c r="E15" s="210"/>
      <c r="F15" s="210"/>
      <c r="G15" s="211"/>
      <c r="H15" s="211"/>
      <c r="I15" s="211"/>
      <c r="J15" s="216"/>
      <c r="K15" s="207"/>
      <c r="L15" s="207"/>
      <c r="M15" s="210"/>
      <c r="N15" s="208"/>
      <c r="O15" s="210"/>
      <c r="P15" s="210"/>
      <c r="Q15" s="207" t="s">
        <v>554</v>
      </c>
      <c r="R15" s="207" t="s">
        <v>552</v>
      </c>
      <c r="S15" s="207">
        <v>0.9</v>
      </c>
      <c r="T15" s="207"/>
      <c r="U15" s="150">
        <v>46</v>
      </c>
    </row>
    <row r="16" spans="1:21" s="150" customFormat="1" ht="18.75" x14ac:dyDescent="0.3">
      <c r="A16" s="209"/>
      <c r="B16" s="209"/>
      <c r="C16" s="211"/>
      <c r="D16" s="210"/>
      <c r="E16" s="210"/>
      <c r="F16" s="210"/>
      <c r="G16" s="211"/>
      <c r="H16" s="211"/>
      <c r="I16" s="211"/>
      <c r="J16" s="216"/>
      <c r="K16" s="207"/>
      <c r="L16" s="207"/>
      <c r="M16" s="210"/>
      <c r="N16" s="208"/>
      <c r="O16" s="210"/>
      <c r="P16" s="210"/>
      <c r="Q16" s="210"/>
      <c r="R16" s="210"/>
      <c r="S16" s="210"/>
      <c r="T16" s="210"/>
    </row>
    <row r="17" spans="1:21" s="150" customFormat="1" ht="18.75" x14ac:dyDescent="0.3">
      <c r="A17" s="209"/>
      <c r="B17" s="209"/>
      <c r="C17" s="211"/>
      <c r="D17" s="210"/>
      <c r="E17" s="210"/>
      <c r="F17" s="210"/>
      <c r="G17" s="211"/>
      <c r="H17" s="211"/>
      <c r="I17" s="211"/>
      <c r="J17" s="216"/>
      <c r="K17" s="207"/>
      <c r="L17" s="207"/>
      <c r="M17" s="210"/>
      <c r="N17" s="208"/>
      <c r="O17" s="210"/>
      <c r="P17" s="210"/>
      <c r="Q17" s="210"/>
      <c r="R17" s="210"/>
      <c r="S17" s="210"/>
      <c r="T17" s="210"/>
    </row>
    <row r="18" spans="1:21" s="150" customFormat="1" ht="18.75" x14ac:dyDescent="0.3">
      <c r="A18" s="209"/>
      <c r="B18" s="209"/>
      <c r="C18" s="211"/>
      <c r="D18" s="210"/>
      <c r="E18" s="210"/>
      <c r="F18" s="210"/>
      <c r="G18" s="211"/>
      <c r="H18" s="210"/>
      <c r="I18" s="210"/>
      <c r="J18" s="216"/>
      <c r="K18" s="207"/>
      <c r="L18" s="207"/>
      <c r="M18" s="210"/>
      <c r="N18" s="207"/>
      <c r="O18" s="210"/>
      <c r="P18" s="210"/>
      <c r="Q18" s="210"/>
      <c r="R18" s="210"/>
      <c r="S18" s="210"/>
      <c r="T18" s="210"/>
    </row>
    <row r="19" spans="1:21" s="201" customFormat="1" ht="18.75" x14ac:dyDescent="0.3">
      <c r="B19" s="202" t="s">
        <v>809</v>
      </c>
      <c r="C19" s="201">
        <f>SUM(C2:C6)</f>
        <v>10.1</v>
      </c>
      <c r="F19" s="201">
        <f>SUM(F2:F18)</f>
        <v>11.100000000000001</v>
      </c>
      <c r="I19" s="201">
        <f>SUM(I2:I18)</f>
        <v>10.65</v>
      </c>
      <c r="L19" s="201">
        <f>SUM(L2:L18)</f>
        <v>11.220000000000002</v>
      </c>
      <c r="P19" s="201">
        <f>SUM(P2:P18)</f>
        <v>10.556000000000001</v>
      </c>
      <c r="S19" s="201">
        <f>SUM(S2:S18)</f>
        <v>13.73</v>
      </c>
      <c r="U19" s="201">
        <f>SUM(C19:T19)</f>
        <v>67.356000000000009</v>
      </c>
    </row>
    <row r="20" spans="1:21" s="150" customFormat="1" ht="18.75" x14ac:dyDescent="0.3">
      <c r="F20" s="150">
        <f>F19-10.81</f>
        <v>0.29000000000000092</v>
      </c>
      <c r="I20" s="150">
        <f>I19-10.81</f>
        <v>-0.16000000000000014</v>
      </c>
      <c r="L20" s="150">
        <f>L19-10.81</f>
        <v>0.41000000000000192</v>
      </c>
      <c r="P20" s="150">
        <f>P19-10.81</f>
        <v>-0.25399999999999956</v>
      </c>
      <c r="U20" s="150">
        <v>11.03</v>
      </c>
    </row>
    <row r="21" spans="1:21" s="150" customFormat="1" ht="18.75" x14ac:dyDescent="0.3">
      <c r="U21" s="150">
        <f>U19+U20</f>
        <v>78.38600000000001</v>
      </c>
    </row>
    <row r="22" spans="1:21" s="150" customFormat="1" ht="18.75" x14ac:dyDescent="0.3"/>
    <row r="23" spans="1:21" s="150" customFormat="1" ht="18.75" x14ac:dyDescent="0.3"/>
    <row r="24" spans="1:21" s="150" customFormat="1" ht="18.75" x14ac:dyDescent="0.3"/>
    <row r="25" spans="1:21" s="150" customFormat="1" ht="18.75" x14ac:dyDescent="0.3"/>
    <row r="26" spans="1:21" s="150" customFormat="1" ht="18.75" x14ac:dyDescent="0.3"/>
    <row r="27" spans="1:21" s="150" customFormat="1" ht="18.75" x14ac:dyDescent="0.3"/>
    <row r="28" spans="1:21" s="150" customFormat="1" ht="18.75" x14ac:dyDescent="0.3"/>
    <row r="29" spans="1:21" s="150" customFormat="1" ht="18.75" x14ac:dyDescent="0.3"/>
    <row r="30" spans="1:21" s="150" customFormat="1" ht="18.75" x14ac:dyDescent="0.3"/>
    <row r="31" spans="1:21" s="150" customFormat="1" ht="18.75" x14ac:dyDescent="0.3"/>
    <row r="32" spans="1:21" s="150" customFormat="1" ht="18.75" x14ac:dyDescent="0.3"/>
    <row r="33" s="150" customFormat="1" ht="18.75" x14ac:dyDescent="0.3"/>
    <row r="34" s="150" customFormat="1" ht="18.75" x14ac:dyDescent="0.3"/>
    <row r="35" s="150" customFormat="1" ht="18.75" x14ac:dyDescent="0.3"/>
    <row r="36" s="150" customFormat="1" ht="18.75" x14ac:dyDescent="0.3"/>
    <row r="37" s="150" customFormat="1" ht="18.75" x14ac:dyDescent="0.3"/>
    <row r="38" s="150" customFormat="1" ht="18.75" x14ac:dyDescent="0.3"/>
    <row r="39" s="150" customFormat="1" ht="18.75" x14ac:dyDescent="0.3"/>
    <row r="40" s="150" customFormat="1" ht="18.75" x14ac:dyDescent="0.3"/>
    <row r="41" s="150" customFormat="1" ht="18.75" x14ac:dyDescent="0.3"/>
    <row r="42" s="150" customFormat="1" ht="18.75" x14ac:dyDescent="0.3"/>
    <row r="43" s="150" customFormat="1" ht="18.75" x14ac:dyDescent="0.3"/>
    <row r="44" s="150" customFormat="1" ht="18.75" x14ac:dyDescent="0.3"/>
    <row r="45" s="150" customFormat="1" ht="18.75" x14ac:dyDescent="0.3"/>
    <row r="46" s="150" customFormat="1" ht="18.75" x14ac:dyDescent="0.3"/>
    <row r="47" s="150" customFormat="1" ht="18.75" x14ac:dyDescent="0.3"/>
    <row r="48" s="150" customFormat="1" ht="18.75" x14ac:dyDescent="0.3"/>
    <row r="49" s="150" customFormat="1" ht="18.75" x14ac:dyDescent="0.3"/>
    <row r="50" s="150" customFormat="1" ht="18.75" x14ac:dyDescent="0.3"/>
    <row r="51" s="150" customFormat="1" ht="18.75" x14ac:dyDescent="0.3"/>
    <row r="52" s="150" customFormat="1" ht="18.75" x14ac:dyDescent="0.3"/>
    <row r="53" s="150" customFormat="1" ht="18.75" x14ac:dyDescent="0.3"/>
    <row r="54" s="150" customFormat="1" ht="18.75" x14ac:dyDescent="0.3"/>
    <row r="55" s="150" customFormat="1" ht="18.75" x14ac:dyDescent="0.3"/>
    <row r="56" s="150" customFormat="1" ht="18.75" x14ac:dyDescent="0.3"/>
    <row r="57" s="150" customFormat="1" ht="18.75" x14ac:dyDescent="0.3"/>
    <row r="58" s="150" customFormat="1" ht="18.75" x14ac:dyDescent="0.3"/>
    <row r="59" s="150" customFormat="1" ht="18.75" x14ac:dyDescent="0.3"/>
    <row r="60" s="150" customFormat="1" ht="18.75" x14ac:dyDescent="0.3"/>
    <row r="61" s="150" customFormat="1" ht="18.75" x14ac:dyDescent="0.3"/>
    <row r="62" s="150" customFormat="1" ht="18.75" x14ac:dyDescent="0.3"/>
    <row r="63" s="150" customFormat="1" ht="18.75" x14ac:dyDescent="0.3"/>
    <row r="64" s="150" customFormat="1" ht="18.75" x14ac:dyDescent="0.3"/>
    <row r="65" s="150" customFormat="1" ht="18.75" x14ac:dyDescent="0.3"/>
    <row r="66" s="150" customFormat="1" ht="18.75" x14ac:dyDescent="0.3"/>
    <row r="67" s="150" customFormat="1" ht="18.75" x14ac:dyDescent="0.3"/>
    <row r="68" s="150" customFormat="1" ht="18.75" x14ac:dyDescent="0.3"/>
    <row r="69" s="150" customFormat="1" ht="18.75" x14ac:dyDescent="0.3"/>
    <row r="70" s="150" customFormat="1" ht="18.75" x14ac:dyDescent="0.3"/>
    <row r="71" s="150" customFormat="1" ht="18.75" x14ac:dyDescent="0.3"/>
  </sheetData>
  <mergeCells count="6">
    <mergeCell ref="Q1:R1"/>
    <mergeCell ref="A1:B1"/>
    <mergeCell ref="D1:E1"/>
    <mergeCell ref="G1:H1"/>
    <mergeCell ref="J1:K1"/>
    <mergeCell ref="N1:O1"/>
  </mergeCells>
  <pageMargins left="0.70866141732283472" right="0.70866141732283472" top="0.74803149606299213" bottom="0.74803149606299213" header="0.31496062992125984" footer="0.31496062992125984"/>
  <pageSetup paperSize="9" scale="20" fitToHeight="0" orientation="landscape" r:id="rId1"/>
  <colBreaks count="4" manualBreakCount="4">
    <brk id="3" max="20" man="1"/>
    <brk id="6" max="20" man="1"/>
    <brk id="7" max="20" man="1"/>
    <brk id="10" max="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7</vt:i4>
      </vt:variant>
    </vt:vector>
  </HeadingPairs>
  <TitlesOfParts>
    <vt:vector size="21" baseType="lpstr">
      <vt:lpstr>Зимнее содержание</vt:lpstr>
      <vt:lpstr>База</vt:lpstr>
      <vt:lpstr> содержание расчёт</vt:lpstr>
      <vt:lpstr>агломерация</vt:lpstr>
      <vt:lpstr>Дороги района</vt:lpstr>
      <vt:lpstr>Дороги СП</vt:lpstr>
      <vt:lpstr>Расчёт  передачи средств  СП</vt:lpstr>
      <vt:lpstr>Лист2</vt:lpstr>
      <vt:lpstr>Лист1</vt:lpstr>
      <vt:lpstr>Перечень дорог изменения 2023</vt:lpstr>
      <vt:lpstr>Перечень дорог 2025 по паспртии</vt:lpstr>
      <vt:lpstr>Лист3</vt:lpstr>
      <vt:lpstr>на изменения 2024</vt:lpstr>
      <vt:lpstr>паспортизация</vt:lpstr>
      <vt:lpstr>'Перечень дорог изменения 2023'!Заголовки_для_печати</vt:lpstr>
      <vt:lpstr>' содержание расчёт'!Область_печати</vt:lpstr>
      <vt:lpstr>База!Область_печати</vt:lpstr>
      <vt:lpstr>'Дороги СП'!Область_печати</vt:lpstr>
      <vt:lpstr>паспортизация!Область_печати</vt:lpstr>
      <vt:lpstr>'Перечень дорог 2025 по паспртии'!Область_печати</vt:lpstr>
      <vt:lpstr>'Перечень дорог изменения 2023'!Область_печати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2025-01-20T06:40:50Z</dcterms:modified>
</cp:coreProperties>
</file>